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18"/>
  <workbookPr filterPrivacy="1" defaultThemeVersion="124226"/>
  <xr:revisionPtr revIDLastSave="0" documentId="8_{47D5653C-45ED-4D79-9A5F-D41CB96672C1}" xr6:coauthVersionLast="47" xr6:coauthVersionMax="47" xr10:uidLastSave="{00000000-0000-0000-0000-000000000000}"/>
  <bookViews>
    <workbookView xWindow="-24120" yWindow="-120" windowWidth="24240" windowHeight="13140" xr2:uid="{00000000-000D-0000-FFFF-FFFF00000000}"/>
  </bookViews>
  <sheets>
    <sheet name="Instructions" sheetId="3" r:id="rId1"/>
    <sheet name="Cure #1" sheetId="1" r:id="rId2"/>
    <sheet name="Cure #2" sheetId="2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0" i="2" l="1"/>
  <c r="G40" i="2"/>
  <c r="H54" i="1"/>
  <c r="P56" i="1"/>
  <c r="P55" i="1"/>
  <c r="G54" i="1"/>
  <c r="G33" i="1"/>
  <c r="V32" i="2"/>
  <c r="F40" i="2" s="1"/>
  <c r="P32" i="2"/>
  <c r="G30" i="2" s="1"/>
  <c r="P31" i="2"/>
  <c r="V35" i="1"/>
  <c r="H43" i="1"/>
  <c r="H33" i="1"/>
  <c r="H30" i="2"/>
  <c r="P35" i="1"/>
  <c r="P34" i="1"/>
  <c r="T55" i="1" l="1"/>
  <c r="F54" i="1" s="1"/>
  <c r="M54" i="1" s="1"/>
  <c r="M43" i="1"/>
  <c r="T35" i="1"/>
  <c r="F33" i="1" s="1"/>
  <c r="M33" i="1" s="1"/>
  <c r="T32" i="2"/>
  <c r="F30" i="2" s="1"/>
  <c r="M30" i="2" s="1"/>
  <c r="M40" i="2"/>
  <c r="M6" i="2"/>
  <c r="I6" i="2"/>
  <c r="R47" i="1"/>
  <c r="R43" i="1"/>
  <c r="M9" i="1"/>
  <c r="I9" i="1"/>
  <c r="M49" i="2" l="1"/>
  <c r="I49" i="2"/>
  <c r="M46" i="2"/>
  <c r="I46" i="2"/>
  <c r="E17" i="2" l="1"/>
  <c r="Q24" i="2"/>
  <c r="E19" i="2" s="1"/>
  <c r="Q21" i="2"/>
  <c r="S21" i="2" s="1"/>
  <c r="Q20" i="2"/>
  <c r="S20" i="2" s="1"/>
  <c r="Q19" i="2"/>
  <c r="S19" i="2" s="1"/>
  <c r="Q18" i="2"/>
  <c r="S18" i="2" s="1"/>
  <c r="Q17" i="2"/>
  <c r="S17" i="2" s="1"/>
  <c r="Q16" i="2"/>
  <c r="S16" i="2" s="1"/>
  <c r="Q15" i="2"/>
  <c r="S15" i="2" s="1"/>
  <c r="E16" i="2" s="1"/>
  <c r="E18" i="2" s="1"/>
  <c r="Q27" i="1"/>
  <c r="E22" i="1" s="1"/>
  <c r="Q20" i="1"/>
  <c r="S20" i="1" s="1"/>
  <c r="Q21" i="1"/>
  <c r="S21" i="1" s="1"/>
  <c r="Q22" i="1"/>
  <c r="S22" i="1" s="1"/>
  <c r="Q23" i="1"/>
  <c r="S23" i="1" s="1"/>
  <c r="Q24" i="1"/>
  <c r="S24" i="1" s="1"/>
  <c r="Q19" i="1"/>
  <c r="S19" i="1" s="1"/>
  <c r="E19" i="1" s="1"/>
  <c r="E21" i="1" s="1"/>
  <c r="E20" i="1"/>
  <c r="S22" i="2" l="1"/>
  <c r="S25" i="1"/>
  <c r="E18" i="1" s="1"/>
  <c r="M18" i="1" l="1"/>
  <c r="I6" i="1" l="1"/>
  <c r="I5" i="1"/>
  <c r="E15" i="2"/>
  <c r="M15" i="2" s="1"/>
</calcChain>
</file>

<file path=xl/sharedStrings.xml><?xml version="1.0" encoding="utf-8"?>
<sst xmlns="http://schemas.openxmlformats.org/spreadsheetml/2006/main" count="344" uniqueCount="151">
  <si>
    <t>Instructions for using this calculation tool</t>
  </si>
  <si>
    <t xml:space="preserve">In order to perform the required calculations to verify compliance with federal law regarding curing and use of associated additives, each recipe must provide </t>
  </si>
  <si>
    <t xml:space="preserve">the specific amounts based on the type of curing process. </t>
  </si>
  <si>
    <t>All values required are based on one batch consisting of a specified weight of protein plus additional ingredients.</t>
  </si>
  <si>
    <t>% nitrite in Cure #1 *</t>
  </si>
  <si>
    <t xml:space="preserve">g of cure in brine batch </t>
  </si>
  <si>
    <t>Initial Lb or Kg protein</t>
  </si>
  <si>
    <t>Total Lb of rub mix</t>
  </si>
  <si>
    <t>Lb rub mix used/batch</t>
  </si>
  <si>
    <t>Wt. of brine batch , Lb</t>
  </si>
  <si>
    <t>Lb brine used per protein batch</t>
  </si>
  <si>
    <t>Final Lb or Kg protein **</t>
  </si>
  <si>
    <t>g or oz brine injected</t>
  </si>
  <si>
    <t>Comminuted sausages, other ground products</t>
  </si>
  <si>
    <t>X</t>
  </si>
  <si>
    <t>Dry-rubbed whole muscle products</t>
  </si>
  <si>
    <t>Large whole muscle cured by immersion (pickling)</t>
  </si>
  <si>
    <t>Whole muscle cured by injection</t>
  </si>
  <si>
    <t>Small whole muscle cured by immersion (pickling)</t>
  </si>
  <si>
    <t xml:space="preserve"> * If Cure #2 is used, % nitrate in the cure agent is also required.</t>
  </si>
  <si>
    <t xml:space="preserve"> ** Final weight of protein after curing but before cooking</t>
  </si>
  <si>
    <t>If cure accerators are used, you will need the ounces of cure accelerator and the pounds or Kg of protein cured per batch. Calculation is on Cure #2 sheet.</t>
  </si>
  <si>
    <t>Large whole muscle product examples include hams, briskets and pork bellies.</t>
  </si>
  <si>
    <t>Small whole muscle products include jerky strips, pork snouts and other products with large surface area.</t>
  </si>
  <si>
    <t>COMMINUTED, CURED SAUSAGES!</t>
  </si>
  <si>
    <t>Fields with bolded borders require data entry!</t>
  </si>
  <si>
    <t>Nitrite only!   (Cure #1, TCM #1) as Sodium Nitrite</t>
  </si>
  <si>
    <t>Validated 11/1/20</t>
  </si>
  <si>
    <t xml:space="preserve">References: </t>
  </si>
  <si>
    <t>Manufacturer Instructions:</t>
  </si>
  <si>
    <t>Allowed</t>
  </si>
  <si>
    <t>per</t>
  </si>
  <si>
    <t xml:space="preserve">or </t>
  </si>
  <si>
    <t>Allowed g.</t>
  </si>
  <si>
    <t>per # lbs</t>
  </si>
  <si>
    <t>Ingoing Nitrite Yield</t>
  </si>
  <si>
    <t>1. A Comparison Of Traditional And Alternative Meat Curing Methods</t>
  </si>
  <si>
    <t>Based on 6.25% Sodium Nitrite</t>
  </si>
  <si>
    <t>https://meatscience.org/TheMeatWeEat/docs/default-source/MeatWeEat/sullivan_factsheet.pdf?sfvrsn=c3bc81b3_0</t>
  </si>
  <si>
    <t>1 oz (28.3 g)</t>
  </si>
  <si>
    <t>25 lbs</t>
  </si>
  <si>
    <t xml:space="preserve">ppm </t>
  </si>
  <si>
    <t>2. Title 9 Code of Federal Regulations, Parts 424.21 and 424.22</t>
  </si>
  <si>
    <t>4 oz (112g)</t>
  </si>
  <si>
    <t>100 lbs</t>
  </si>
  <si>
    <t xml:space="preserve">3. Processing Inspectors' Calculations Handbook, USDA-FSIS,1995 </t>
  </si>
  <si>
    <r>
      <rPr>
        <sz val="11"/>
        <rFont val="Calibri"/>
        <family val="2"/>
        <scheme val="minor"/>
      </rPr>
      <t xml:space="preserve">4. </t>
    </r>
    <r>
      <rPr>
        <u/>
        <sz val="11"/>
        <color theme="10"/>
        <rFont val="Calibri"/>
        <family val="2"/>
        <scheme val="minor"/>
      </rPr>
      <t xml:space="preserve"> Bacon and Food Safety - USDA-FSIS Fact Sheet</t>
    </r>
  </si>
  <si>
    <t>grams cure</t>
  </si>
  <si>
    <t>lbs meat</t>
  </si>
  <si>
    <t>ppm Nitrite</t>
  </si>
  <si>
    <t>ounces cure</t>
  </si>
  <si>
    <r>
      <rPr>
        <sz val="11"/>
        <rFont val="Calibri"/>
        <family val="2"/>
        <scheme val="minor"/>
      </rPr>
      <t>5.</t>
    </r>
    <r>
      <rPr>
        <sz val="11"/>
        <color theme="10"/>
        <rFont val="Calibri"/>
        <family val="2"/>
        <scheme val="minor"/>
      </rPr>
      <t xml:space="preserve"> </t>
    </r>
    <r>
      <rPr>
        <u/>
        <sz val="11"/>
        <color theme="10"/>
        <rFont val="Calibri"/>
        <family val="2"/>
        <scheme val="minor"/>
      </rPr>
      <t>Meats and Sausages</t>
    </r>
  </si>
  <si>
    <t xml:space="preserve">Enter % Sodium Nitrite in curing salt used: </t>
  </si>
  <si>
    <t>%</t>
  </si>
  <si>
    <t>Minimum nitrite is 120 ppm if product will not be refrigerated.</t>
  </si>
  <si>
    <t xml:space="preserve">Maximum allowed by law for this process is 156 ppm nitrite. </t>
  </si>
  <si>
    <t xml:space="preserve"> </t>
  </si>
  <si>
    <t>DRY RUB CURING OF WHOLE MUSCLE</t>
  </si>
  <si>
    <t>Calculate ingoing nitrite from dry rub mixture (convert all weights to Lbs)</t>
  </si>
  <si>
    <t>Nitrite only!   As Sodium Nitrite</t>
  </si>
  <si>
    <t>Pg 30 - dry rub cure of whole muscle</t>
  </si>
  <si>
    <t>Total weight of all ingredients except cure salt may be entered below the</t>
  </si>
  <si>
    <t>cure salt line, instead of listing weights of individual ingredients</t>
  </si>
  <si>
    <t>Total Cure Mix batch weight, lbs</t>
  </si>
  <si>
    <t>Actual value:</t>
  </si>
  <si>
    <t>Convert grams to pounds</t>
  </si>
  <si>
    <t>Calculate Lbs of cure mix</t>
  </si>
  <si>
    <t>Lb of cure salt in cure mix recipe</t>
  </si>
  <si>
    <r>
      <t xml:space="preserve">Maximum allowed for dry rub cured </t>
    </r>
    <r>
      <rPr>
        <b/>
        <sz val="11"/>
        <color rgb="FFFF0000"/>
        <rFont val="Calibri"/>
        <family val="2"/>
        <scheme val="minor"/>
      </rPr>
      <t xml:space="preserve">bacon </t>
    </r>
    <r>
      <rPr>
        <b/>
        <sz val="11"/>
        <color theme="1"/>
        <rFont val="Calibri"/>
        <family val="2"/>
        <scheme val="minor"/>
      </rPr>
      <t xml:space="preserve">is 200 ppm nitrite. </t>
    </r>
  </si>
  <si>
    <t>grams</t>
  </si>
  <si>
    <t>lbs</t>
  </si>
  <si>
    <t>cure salt</t>
  </si>
  <si>
    <t>lbs cure mix used per curing batch</t>
  </si>
  <si>
    <t>For all other dry rub cured meats, the limit is 625 ppm nitrite.</t>
  </si>
  <si>
    <t>Lb of nitrite in cure mix recipe</t>
  </si>
  <si>
    <t>Lb of meat/protein per curing batch</t>
  </si>
  <si>
    <t>Tot. Lbs Cure Mix Batch</t>
  </si>
  <si>
    <t>Protein:</t>
  </si>
  <si>
    <t>Lb  cure mix used per recipe</t>
  </si>
  <si>
    <t>BRINE IMMERSION CURING (HAMS, Pork bellies, briskets)!!</t>
  </si>
  <si>
    <t>Method 1, pg 22 - large whole muscle</t>
  </si>
  <si>
    <t>Calculate % Pickup for Brine Immersion Method</t>
  </si>
  <si>
    <t>Injection Curing</t>
  </si>
  <si>
    <t>% Pickup is the % increase in protein weight resulting from weight of brine absorbed into the protein. No more than 20% (0.20) is allowed!</t>
  </si>
  <si>
    <t>Brine Batch Produced</t>
  </si>
  <si>
    <t>Brine Batch Used</t>
  </si>
  <si>
    <t>Complete the g of cure and batch wt, g fields at left</t>
  </si>
  <si>
    <t xml:space="preserve">Ingoing Lb of Cure </t>
  </si>
  <si>
    <t>Lb. Brine Batch USED</t>
  </si>
  <si>
    <t>%Pickup</t>
  </si>
  <si>
    <t>g of cure</t>
  </si>
  <si>
    <t>Initial Brine wt used, lb</t>
  </si>
  <si>
    <t>batch wt, g</t>
  </si>
  <si>
    <t>Initial protein wt, lb</t>
  </si>
  <si>
    <t>g of brine injected</t>
  </si>
  <si>
    <t>Maximum allowed by law for this process is 200 ppm nitrite.</t>
  </si>
  <si>
    <t>lb of cure</t>
  </si>
  <si>
    <t>final protein wt, lb</t>
  </si>
  <si>
    <t>lb of meat cured</t>
  </si>
  <si>
    <r>
      <t>Maximum allowed for this process (</t>
    </r>
    <r>
      <rPr>
        <b/>
        <sz val="11"/>
        <color rgb="FFFF0000"/>
        <rFont val="Calibri"/>
        <family val="2"/>
        <scheme val="minor"/>
      </rPr>
      <t>bacon only</t>
    </r>
    <r>
      <rPr>
        <b/>
        <sz val="11"/>
        <color theme="1"/>
        <rFont val="Calibri"/>
        <family val="2"/>
        <scheme val="minor"/>
      </rPr>
      <t>) is 120 ppm nitrite.</t>
    </r>
  </si>
  <si>
    <t>batch wt, lb</t>
  </si>
  <si>
    <t>lb cure in brine used</t>
  </si>
  <si>
    <t>lb of cure injected</t>
  </si>
  <si>
    <t>BRINE INJECTION CURING (HAMS, Other Whole Muscle)!!</t>
  </si>
  <si>
    <t>If the curing salt contains nitrite or nitrate + nitrite as the potassium salts,</t>
  </si>
  <si>
    <t>you must convert to the equivalent amounts of sodium salts, as follows:</t>
  </si>
  <si>
    <t>Enter converted values into the appropriate calculations as sodium salts (sodium nitrite and sodium nitrate).</t>
  </si>
  <si>
    <t>NEED TO ASK FOR THE TOTAL WEIGHT OF PREPARED BRINE, AND THE INTENDED % PUMP RATE!</t>
  </si>
  <si>
    <t>To convert potassium nitrite weight to equivalent weight of sodium nitrite:</t>
  </si>
  <si>
    <t>Lb Cure injected</t>
  </si>
  <si>
    <t>%Pump</t>
  </si>
  <si>
    <t>% pump is lbs of brine per lb of meat (whole number, not decimal).</t>
  </si>
  <si>
    <t>wt of potassium nitrite:</t>
  </si>
  <si>
    <t>Lbs</t>
  </si>
  <si>
    <t>Actual ppm nitrite value:</t>
  </si>
  <si>
    <t>equivalent sodium nitrite weight</t>
  </si>
  <si>
    <t>To convert potassium nitrate weight to equivalent weight of sodium nitrate:</t>
  </si>
  <si>
    <t>9 CFR 424.22 (b)(1) requires addition of 550 ppm sodium ascorbate or sodium  erythorbate in pumped, cured bacon.</t>
  </si>
  <si>
    <t>wt of potassium nitrate:</t>
  </si>
  <si>
    <t>equivalent sodium nitrate weight</t>
  </si>
  <si>
    <t>BRINE IMMERSION CURING (jerky, small pieces with large surface area such as pork snouts)</t>
  </si>
  <si>
    <t>Method 2, pg 22 - small whole muscle</t>
  </si>
  <si>
    <t>Lb of meat</t>
  </si>
  <si>
    <t>Brine wt used, lb</t>
  </si>
  <si>
    <t xml:space="preserve">Nitrite and Nitrate Cure salt (Cure #2, TCM #2) based on Sodium Nitrite and Sodium Nitrate </t>
  </si>
  <si>
    <t xml:space="preserve">validated 11/1/20        </t>
  </si>
  <si>
    <t>Cure Accelerator required! Calculation below</t>
  </si>
  <si>
    <t>Kgs  meat</t>
  </si>
  <si>
    <t xml:space="preserve">Enter % Sodium Nitrate in curing salt used: </t>
  </si>
  <si>
    <t>Legal Limit is 200 ppm ingoing cure as effective Nitrite</t>
  </si>
  <si>
    <t>Nitrite and Nitrate Cure salt based on Sodium Nitrite and Sodium Nitrate</t>
  </si>
  <si>
    <t xml:space="preserve">validated 11/1/20     </t>
  </si>
  <si>
    <t>For DRY CURING!</t>
  </si>
  <si>
    <t>(longer cure)</t>
  </si>
  <si>
    <t>lbs dry rub mix used per curing batch</t>
  </si>
  <si>
    <t>Maximum allowed for this process  is 625 ppm sodium nitrite by immersion.</t>
  </si>
  <si>
    <t>Equivalent lb of nitrite in cure mix recipe</t>
  </si>
  <si>
    <t>9 CFR 424.21 and 424.22 prohibit the use of nitrate in curing bacon!</t>
  </si>
  <si>
    <t>BRINE IMMERSION CURING (HAMS, Pork bellies, Briskets)!!</t>
  </si>
  <si>
    <t>Nitrite only!   6.25% Sodium Nitrite</t>
  </si>
  <si>
    <t>Lb of Cure #2</t>
  </si>
  <si>
    <t>lb. brine</t>
  </si>
  <si>
    <t>ppm</t>
  </si>
  <si>
    <t>If cure used contains potassium nitrite, equivalent limit is 148 ppm .</t>
  </si>
  <si>
    <t>Method 1, pg 19 - large whole muscle</t>
  </si>
  <si>
    <t>% pump is pounds brine per pound of meat.</t>
  </si>
  <si>
    <t>Cure accelerators (REQUIRED, if cure includes nitrate)</t>
  </si>
  <si>
    <t>Oz. Cure Accel</t>
  </si>
  <si>
    <t>Federal limits for cure accelerators:</t>
  </si>
  <si>
    <r>
      <rPr>
        <b/>
        <sz val="12"/>
        <color theme="1"/>
        <rFont val="Calibri"/>
        <family val="2"/>
        <scheme val="minor"/>
      </rPr>
      <t>USDA requirements</t>
    </r>
    <r>
      <rPr>
        <sz val="12"/>
        <color theme="1"/>
        <rFont val="Calibri"/>
        <family val="2"/>
        <scheme val="minor"/>
      </rPr>
      <t xml:space="preserve">: </t>
    </r>
    <r>
      <rPr>
        <b/>
        <sz val="12"/>
        <color theme="1"/>
        <rFont val="Calibri"/>
        <family val="2"/>
        <scheme val="minor"/>
      </rPr>
      <t>For all  products exept bacon</t>
    </r>
    <r>
      <rPr>
        <sz val="12"/>
        <color theme="1"/>
        <rFont val="Calibri"/>
        <family val="2"/>
        <scheme val="minor"/>
      </rPr>
      <t xml:space="preserve">, </t>
    </r>
    <r>
      <rPr>
        <b/>
        <sz val="12"/>
        <color theme="1"/>
        <rFont val="Calibri"/>
        <family val="2"/>
        <scheme val="minor"/>
      </rPr>
      <t>limits</t>
    </r>
    <r>
      <rPr>
        <sz val="12"/>
        <color theme="1"/>
        <rFont val="Calibri"/>
        <family val="2"/>
        <scheme val="minor"/>
      </rPr>
      <t xml:space="preserve"> for various cure accelerators are as follows:  Sodium Ascorbate or sodium erythorbate, 550 ppm same as for bacon. Ascorbic acid or erythorbic acid, 469 ppm; GDL (glucono-delta-lactone), 5000 ppm. </t>
    </r>
    <r>
      <rPr>
        <b/>
        <sz val="12"/>
        <color theme="1"/>
        <rFont val="Calibri"/>
        <family val="2"/>
        <scheme val="minor"/>
      </rPr>
      <t>GDL IS ONLY ALLOWED IN CURED, COMMINUTED PRODUCTS</t>
    </r>
    <r>
      <rPr>
        <sz val="12"/>
        <color theme="1"/>
        <rFont val="Calibri"/>
        <family val="2"/>
        <scheme val="minor"/>
      </rPr>
      <t>.</t>
    </r>
  </si>
  <si>
    <t>g. Cure Accel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</si>
</sst>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0"/>
    <numFmt numFmtId="165" formatCode="0.0"/>
    <numFmt numFmtId="166" formatCode="0.000"/>
    <numFmt numFmtId="167" formatCode="0.00000"/>
  </numFmts>
  <fonts count="2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.5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sz val="7"/>
      <color theme="1"/>
      <name val="Calibri"/>
      <family val="2"/>
      <scheme val="minor"/>
    </font>
    <font>
      <sz val="11"/>
      <color theme="1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</fills>
  <borders count="4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 style="thick">
        <color auto="1"/>
      </left>
      <right/>
      <top style="medium">
        <color auto="1"/>
      </top>
      <bottom/>
      <diagonal/>
    </border>
    <border>
      <left style="thick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4" fillId="0" borderId="0" applyNumberFormat="0" applyFill="0" applyBorder="0" applyAlignment="0" applyProtection="0"/>
  </cellStyleXfs>
  <cellXfs count="172">
    <xf numFmtId="0" fontId="0" fillId="0" borderId="0" xfId="0"/>
    <xf numFmtId="0" fontId="0" fillId="0" borderId="0" xfId="0" applyProtection="1">
      <protection locked="0"/>
    </xf>
    <xf numFmtId="0" fontId="3" fillId="0" borderId="0" xfId="0" applyFont="1"/>
    <xf numFmtId="0" fontId="1" fillId="0" borderId="0" xfId="0" applyFont="1"/>
    <xf numFmtId="0" fontId="2" fillId="0" borderId="0" xfId="0" applyFont="1"/>
    <xf numFmtId="0" fontId="0" fillId="0" borderId="0" xfId="0" applyAlignment="1">
      <alignment horizontal="center"/>
    </xf>
    <xf numFmtId="164" fontId="0" fillId="0" borderId="0" xfId="0" applyNumberFormat="1"/>
    <xf numFmtId="2" fontId="0" fillId="0" borderId="0" xfId="0" applyNumberFormat="1"/>
    <xf numFmtId="0" fontId="0" fillId="0" borderId="0" xfId="0" applyAlignment="1">
      <alignment horizontal="right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165" fontId="0" fillId="0" borderId="0" xfId="0" applyNumberFormat="1"/>
    <xf numFmtId="0" fontId="0" fillId="3" borderId="0" xfId="0" applyFill="1"/>
    <xf numFmtId="0" fontId="1" fillId="3" borderId="0" xfId="0" applyFont="1" applyFill="1" applyAlignment="1">
      <alignment horizontal="right"/>
    </xf>
    <xf numFmtId="0" fontId="0" fillId="3" borderId="0" xfId="0" applyFill="1" applyAlignment="1">
      <alignment horizontal="right"/>
    </xf>
    <xf numFmtId="2" fontId="1" fillId="0" borderId="0" xfId="0" applyNumberFormat="1" applyFont="1"/>
    <xf numFmtId="0" fontId="1" fillId="0" borderId="0" xfId="0" applyFont="1" applyAlignment="1">
      <alignment horizontal="left"/>
    </xf>
    <xf numFmtId="0" fontId="3" fillId="3" borderId="0" xfId="0" applyFont="1" applyFill="1" applyAlignment="1">
      <alignment horizontal="right"/>
    </xf>
    <xf numFmtId="0" fontId="1" fillId="0" borderId="12" xfId="0" applyFont="1" applyBorder="1"/>
    <xf numFmtId="0" fontId="1" fillId="0" borderId="13" xfId="0" applyFont="1" applyBorder="1"/>
    <xf numFmtId="0" fontId="1" fillId="0" borderId="14" xfId="0" applyFont="1" applyBorder="1"/>
    <xf numFmtId="0" fontId="1" fillId="0" borderId="16" xfId="0" applyFont="1" applyBorder="1"/>
    <xf numFmtId="0" fontId="1" fillId="0" borderId="15" xfId="0" applyFont="1" applyBorder="1"/>
    <xf numFmtId="0" fontId="16" fillId="0" borderId="0" xfId="0" applyFont="1"/>
    <xf numFmtId="0" fontId="1" fillId="2" borderId="6" xfId="0" applyFont="1" applyFill="1" applyBorder="1"/>
    <xf numFmtId="0" fontId="1" fillId="2" borderId="0" xfId="0" applyFont="1" applyFill="1"/>
    <xf numFmtId="0" fontId="0" fillId="2" borderId="0" xfId="0" applyFill="1"/>
    <xf numFmtId="0" fontId="0" fillId="2" borderId="7" xfId="0" applyFill="1" applyBorder="1"/>
    <xf numFmtId="0" fontId="8" fillId="2" borderId="0" xfId="0" applyFont="1" applyFill="1"/>
    <xf numFmtId="0" fontId="5" fillId="2" borderId="0" xfId="0" applyFont="1" applyFill="1"/>
    <xf numFmtId="2" fontId="0" fillId="5" borderId="0" xfId="0" applyNumberFormat="1" applyFill="1"/>
    <xf numFmtId="0" fontId="8" fillId="2" borderId="10" xfId="0" applyFont="1" applyFill="1" applyBorder="1"/>
    <xf numFmtId="164" fontId="7" fillId="2" borderId="10" xfId="0" applyNumberFormat="1" applyFont="1" applyFill="1" applyBorder="1"/>
    <xf numFmtId="164" fontId="7" fillId="6" borderId="1" xfId="0" applyNumberFormat="1" applyFont="1" applyFill="1" applyBorder="1"/>
    <xf numFmtId="0" fontId="7" fillId="2" borderId="10" xfId="0" applyFont="1" applyFill="1" applyBorder="1"/>
    <xf numFmtId="0" fontId="0" fillId="2" borderId="10" xfId="0" applyFill="1" applyBorder="1"/>
    <xf numFmtId="0" fontId="0" fillId="2" borderId="11" xfId="0" applyFill="1" applyBorder="1"/>
    <xf numFmtId="164" fontId="0" fillId="6" borderId="1" xfId="0" applyNumberFormat="1" applyFill="1" applyBorder="1"/>
    <xf numFmtId="164" fontId="1" fillId="2" borderId="0" xfId="0" applyNumberFormat="1" applyFont="1" applyFill="1"/>
    <xf numFmtId="164" fontId="0" fillId="2" borderId="2" xfId="0" applyNumberFormat="1" applyFill="1" applyBorder="1"/>
    <xf numFmtId="164" fontId="0" fillId="4" borderId="1" xfId="0" applyNumberFormat="1" applyFill="1" applyBorder="1"/>
    <xf numFmtId="0" fontId="6" fillId="2" borderId="0" xfId="0" applyFont="1" applyFill="1"/>
    <xf numFmtId="0" fontId="0" fillId="2" borderId="8" xfId="0" applyFill="1" applyBorder="1"/>
    <xf numFmtId="164" fontId="1" fillId="2" borderId="8" xfId="0" applyNumberFormat="1" applyFont="1" applyFill="1" applyBorder="1"/>
    <xf numFmtId="167" fontId="0" fillId="2" borderId="9" xfId="0" applyNumberFormat="1" applyFill="1" applyBorder="1"/>
    <xf numFmtId="0" fontId="9" fillId="0" borderId="0" xfId="0" applyFont="1"/>
    <xf numFmtId="0" fontId="1" fillId="0" borderId="20" xfId="0" applyFont="1" applyBorder="1"/>
    <xf numFmtId="0" fontId="0" fillId="0" borderId="21" xfId="0" applyBorder="1"/>
    <xf numFmtId="0" fontId="0" fillId="0" borderId="22" xfId="0" applyBorder="1"/>
    <xf numFmtId="0" fontId="1" fillId="0" borderId="23" xfId="0" applyFont="1" applyBorder="1"/>
    <xf numFmtId="0" fontId="0" fillId="0" borderId="23" xfId="0" applyBorder="1"/>
    <xf numFmtId="0" fontId="0" fillId="0" borderId="26" xfId="0" applyBorder="1"/>
    <xf numFmtId="0" fontId="0" fillId="0" borderId="27" xfId="0" applyBorder="1"/>
    <xf numFmtId="0" fontId="1" fillId="0" borderId="0" xfId="0" applyFont="1" applyAlignment="1">
      <alignment horizontal="left" wrapText="1"/>
    </xf>
    <xf numFmtId="0" fontId="13" fillId="3" borderId="0" xfId="0" applyFont="1" applyFill="1"/>
    <xf numFmtId="0" fontId="3" fillId="3" borderId="0" xfId="0" applyFont="1" applyFill="1"/>
    <xf numFmtId="0" fontId="9" fillId="3" borderId="0" xfId="0" applyFont="1" applyFill="1"/>
    <xf numFmtId="0" fontId="1" fillId="0" borderId="0" xfId="0" applyFont="1" applyAlignment="1">
      <alignment horizontal="center" wrapText="1"/>
    </xf>
    <xf numFmtId="0" fontId="10" fillId="2" borderId="3" xfId="0" applyFont="1" applyFill="1" applyBorder="1"/>
    <xf numFmtId="0" fontId="0" fillId="7" borderId="4" xfId="0" applyFill="1" applyBorder="1"/>
    <xf numFmtId="0" fontId="0" fillId="7" borderId="5" xfId="0" applyFill="1" applyBorder="1"/>
    <xf numFmtId="164" fontId="1" fillId="0" borderId="0" xfId="0" applyNumberFormat="1" applyFont="1"/>
    <xf numFmtId="167" fontId="0" fillId="0" borderId="0" xfId="0" applyNumberFormat="1"/>
    <xf numFmtId="165" fontId="0" fillId="0" borderId="11" xfId="0" applyNumberFormat="1" applyBorder="1"/>
    <xf numFmtId="0" fontId="0" fillId="0" borderId="28" xfId="0" applyBorder="1" applyProtection="1">
      <protection locked="0"/>
    </xf>
    <xf numFmtId="0" fontId="0" fillId="0" borderId="30" xfId="0" applyBorder="1" applyAlignment="1" applyProtection="1">
      <alignment horizontal="center"/>
      <protection locked="0"/>
    </xf>
    <xf numFmtId="0" fontId="0" fillId="0" borderId="31" xfId="0" applyBorder="1" applyAlignment="1" applyProtection="1">
      <alignment horizontal="center"/>
      <protection locked="0"/>
    </xf>
    <xf numFmtId="2" fontId="0" fillId="0" borderId="28" xfId="0" applyNumberFormat="1" applyBorder="1" applyAlignment="1" applyProtection="1">
      <alignment horizontal="center"/>
      <protection locked="0"/>
    </xf>
    <xf numFmtId="0" fontId="0" fillId="0" borderId="28" xfId="0" applyBorder="1" applyAlignment="1" applyProtection="1">
      <alignment horizontal="center"/>
      <protection locked="0"/>
    </xf>
    <xf numFmtId="2" fontId="0" fillId="0" borderId="28" xfId="0" applyNumberFormat="1" applyBorder="1" applyProtection="1">
      <protection locked="0"/>
    </xf>
    <xf numFmtId="0" fontId="8" fillId="0" borderId="28" xfId="0" applyFont="1" applyBorder="1" applyProtection="1">
      <protection locked="0"/>
    </xf>
    <xf numFmtId="166" fontId="0" fillId="0" borderId="11" xfId="0" applyNumberFormat="1" applyBorder="1"/>
    <xf numFmtId="164" fontId="0" fillId="8" borderId="29" xfId="0" applyNumberFormat="1" applyFill="1" applyBorder="1"/>
    <xf numFmtId="164" fontId="0" fillId="4" borderId="28" xfId="0" applyNumberFormat="1" applyFill="1" applyBorder="1" applyProtection="1">
      <protection locked="0"/>
    </xf>
    <xf numFmtId="0" fontId="13" fillId="0" borderId="0" xfId="0" applyFont="1"/>
    <xf numFmtId="0" fontId="9" fillId="2" borderId="6" xfId="0" applyFont="1" applyFill="1" applyBorder="1"/>
    <xf numFmtId="0" fontId="0" fillId="3" borderId="0" xfId="0" applyFill="1" applyAlignment="1">
      <alignment horizontal="center"/>
    </xf>
    <xf numFmtId="165" fontId="0" fillId="3" borderId="0" xfId="0" applyNumberFormat="1" applyFill="1"/>
    <xf numFmtId="0" fontId="5" fillId="0" borderId="0" xfId="0" applyFont="1"/>
    <xf numFmtId="0" fontId="6" fillId="0" borderId="0" xfId="0" applyFont="1"/>
    <xf numFmtId="0" fontId="4" fillId="0" borderId="0" xfId="0" applyFont="1"/>
    <xf numFmtId="0" fontId="0" fillId="7" borderId="0" xfId="0" applyFill="1"/>
    <xf numFmtId="0" fontId="0" fillId="7" borderId="7" xfId="0" applyFill="1" applyBorder="1"/>
    <xf numFmtId="2" fontId="0" fillId="5" borderId="32" xfId="0" applyNumberFormat="1" applyFill="1" applyBorder="1"/>
    <xf numFmtId="164" fontId="0" fillId="0" borderId="29" xfId="0" applyNumberFormat="1" applyBorder="1"/>
    <xf numFmtId="2" fontId="1" fillId="0" borderId="1" xfId="0" applyNumberFormat="1" applyFont="1" applyBorder="1" applyAlignment="1">
      <alignment horizontal="left"/>
    </xf>
    <xf numFmtId="2" fontId="1" fillId="0" borderId="1" xfId="0" applyNumberFormat="1" applyFont="1" applyBorder="1"/>
    <xf numFmtId="0" fontId="13" fillId="9" borderId="0" xfId="0" applyFont="1" applyFill="1"/>
    <xf numFmtId="0" fontId="0" fillId="9" borderId="0" xfId="0" applyFill="1"/>
    <xf numFmtId="0" fontId="0" fillId="0" borderId="25" xfId="0" applyBorder="1"/>
    <xf numFmtId="0" fontId="0" fillId="0" borderId="26" xfId="0" applyBorder="1" applyAlignment="1">
      <alignment horizontal="right"/>
    </xf>
    <xf numFmtId="0" fontId="1" fillId="0" borderId="25" xfId="0" applyFont="1" applyBorder="1"/>
    <xf numFmtId="0" fontId="13" fillId="0" borderId="0" xfId="0" applyFont="1" applyProtection="1">
      <protection locked="0"/>
    </xf>
    <xf numFmtId="0" fontId="0" fillId="0" borderId="0" xfId="0" applyAlignment="1">
      <alignment horizontal="left" vertical="center" wrapText="1"/>
    </xf>
    <xf numFmtId="0" fontId="0" fillId="0" borderId="24" xfId="0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2" fontId="0" fillId="0" borderId="29" xfId="0" applyNumberFormat="1" applyBorder="1"/>
    <xf numFmtId="2" fontId="0" fillId="0" borderId="34" xfId="0" applyNumberFormat="1" applyBorder="1"/>
    <xf numFmtId="2" fontId="0" fillId="0" borderId="1" xfId="0" applyNumberFormat="1" applyBorder="1"/>
    <xf numFmtId="2" fontId="0" fillId="0" borderId="1" xfId="0" applyNumberFormat="1" applyBorder="1" applyAlignment="1">
      <alignment horizontal="center"/>
    </xf>
    <xf numFmtId="0" fontId="1" fillId="9" borderId="0" xfId="0" applyFont="1" applyFill="1"/>
    <xf numFmtId="0" fontId="1" fillId="9" borderId="0" xfId="0" applyFont="1" applyFill="1" applyAlignment="1">
      <alignment horizontal="center"/>
    </xf>
    <xf numFmtId="2" fontId="0" fillId="0" borderId="35" xfId="0" applyNumberFormat="1" applyBorder="1"/>
    <xf numFmtId="0" fontId="2" fillId="0" borderId="0" xfId="0" applyFont="1" applyAlignment="1">
      <alignment horizontal="center"/>
    </xf>
    <xf numFmtId="2" fontId="0" fillId="0" borderId="36" xfId="0" applyNumberFormat="1" applyBorder="1" applyProtection="1">
      <protection locked="0"/>
    </xf>
    <xf numFmtId="0" fontId="0" fillId="0" borderId="15" xfId="0" applyBorder="1"/>
    <xf numFmtId="0" fontId="0" fillId="0" borderId="39" xfId="0" applyBorder="1"/>
    <xf numFmtId="0" fontId="0" fillId="0" borderId="40" xfId="0" applyBorder="1"/>
    <xf numFmtId="166" fontId="0" fillId="0" borderId="37" xfId="0" applyNumberFormat="1" applyBorder="1"/>
    <xf numFmtId="0" fontId="14" fillId="0" borderId="15" xfId="1" applyBorder="1" applyProtection="1"/>
    <xf numFmtId="0" fontId="0" fillId="0" borderId="16" xfId="0" applyBorder="1"/>
    <xf numFmtId="0" fontId="16" fillId="0" borderId="18" xfId="0" applyFont="1" applyBorder="1"/>
    <xf numFmtId="0" fontId="16" fillId="0" borderId="19" xfId="0" applyFont="1" applyBorder="1"/>
    <xf numFmtId="0" fontId="14" fillId="0" borderId="17" xfId="1" applyBorder="1" applyAlignment="1" applyProtection="1"/>
    <xf numFmtId="165" fontId="0" fillId="0" borderId="1" xfId="0" applyNumberFormat="1" applyBorder="1" applyAlignment="1">
      <alignment horizontal="center"/>
    </xf>
    <xf numFmtId="0" fontId="0" fillId="0" borderId="1" xfId="0" applyBorder="1"/>
    <xf numFmtId="0" fontId="0" fillId="0" borderId="33" xfId="0" applyBorder="1"/>
    <xf numFmtId="0" fontId="0" fillId="10" borderId="0" xfId="0" applyFill="1"/>
    <xf numFmtId="0" fontId="0" fillId="10" borderId="0" xfId="0" applyFill="1" applyAlignment="1">
      <alignment horizontal="right"/>
    </xf>
    <xf numFmtId="0" fontId="1" fillId="10" borderId="0" xfId="0" applyFont="1" applyFill="1" applyAlignment="1">
      <alignment horizontal="right"/>
    </xf>
    <xf numFmtId="0" fontId="16" fillId="10" borderId="0" xfId="0" applyFont="1" applyFill="1"/>
    <xf numFmtId="0" fontId="1" fillId="10" borderId="0" xfId="0" applyFont="1" applyFill="1"/>
    <xf numFmtId="0" fontId="1" fillId="10" borderId="0" xfId="0" applyFont="1" applyFill="1" applyAlignment="1">
      <alignment horizontal="left" wrapText="1"/>
    </xf>
    <xf numFmtId="0" fontId="1" fillId="0" borderId="41" xfId="0" applyFont="1" applyBorder="1"/>
    <xf numFmtId="0" fontId="0" fillId="0" borderId="10" xfId="0" applyBorder="1"/>
    <xf numFmtId="0" fontId="0" fillId="0" borderId="11" xfId="0" applyBorder="1"/>
    <xf numFmtId="0" fontId="0" fillId="0" borderId="1" xfId="0" applyBorder="1" applyAlignment="1">
      <alignment horizontal="center"/>
    </xf>
    <xf numFmtId="2" fontId="0" fillId="10" borderId="0" xfId="0" applyNumberFormat="1" applyFill="1"/>
    <xf numFmtId="0" fontId="0" fillId="10" borderId="0" xfId="0" applyFill="1" applyAlignment="1">
      <alignment horizontal="center"/>
    </xf>
    <xf numFmtId="165" fontId="0" fillId="10" borderId="0" xfId="0" applyNumberFormat="1" applyFill="1"/>
    <xf numFmtId="164" fontId="1" fillId="10" borderId="0" xfId="0" applyNumberFormat="1" applyFont="1" applyFill="1"/>
    <xf numFmtId="167" fontId="0" fillId="10" borderId="0" xfId="0" applyNumberFormat="1" applyFill="1"/>
    <xf numFmtId="166" fontId="0" fillId="0" borderId="40" xfId="0" applyNumberFormat="1" applyBorder="1"/>
    <xf numFmtId="166" fontId="0" fillId="0" borderId="1" xfId="0" applyNumberFormat="1" applyBorder="1" applyAlignment="1">
      <alignment horizontal="center"/>
    </xf>
    <xf numFmtId="2" fontId="0" fillId="0" borderId="11" xfId="0" applyNumberFormat="1" applyBorder="1" applyAlignment="1">
      <alignment horizontal="center"/>
    </xf>
    <xf numFmtId="0" fontId="19" fillId="0" borderId="1" xfId="0" applyFont="1" applyBorder="1" applyAlignment="1">
      <alignment wrapText="1"/>
    </xf>
    <xf numFmtId="0" fontId="3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8" fillId="0" borderId="1" xfId="0" applyFont="1" applyBorder="1" applyAlignment="1">
      <alignment wrapText="1"/>
    </xf>
    <xf numFmtId="0" fontId="2" fillId="0" borderId="0" xfId="0" applyFont="1" applyAlignment="1">
      <alignment horizontal="center"/>
    </xf>
    <xf numFmtId="0" fontId="1" fillId="0" borderId="15" xfId="0" applyFont="1" applyBorder="1" applyAlignment="1">
      <alignment horizontal="left" wrapText="1"/>
    </xf>
    <xf numFmtId="0" fontId="1" fillId="0" borderId="0" xfId="0" applyFont="1" applyAlignment="1">
      <alignment horizontal="left"/>
    </xf>
    <xf numFmtId="0" fontId="15" fillId="0" borderId="15" xfId="1" applyFont="1" applyBorder="1" applyAlignment="1" applyProtection="1">
      <alignment wrapText="1"/>
    </xf>
    <xf numFmtId="0" fontId="1" fillId="0" borderId="0" xfId="0" applyFont="1" applyAlignment="1">
      <alignment wrapText="1"/>
    </xf>
    <xf numFmtId="0" fontId="1" fillId="0" borderId="16" xfId="0" applyFont="1" applyBorder="1" applyAlignment="1">
      <alignment wrapText="1"/>
    </xf>
    <xf numFmtId="0" fontId="1" fillId="3" borderId="0" xfId="0" applyFont="1" applyFill="1" applyAlignment="1">
      <alignment horizontal="left" wrapText="1"/>
    </xf>
    <xf numFmtId="0" fontId="1" fillId="0" borderId="0" xfId="0" applyFont="1" applyAlignment="1">
      <alignment horizontal="right"/>
    </xf>
    <xf numFmtId="0" fontId="1" fillId="0" borderId="20" xfId="0" applyFont="1" applyBorder="1" applyAlignment="1">
      <alignment horizontal="left" vertical="center" wrapText="1"/>
    </xf>
    <xf numFmtId="0" fontId="0" fillId="0" borderId="22" xfId="0" applyBorder="1" applyAlignment="1">
      <alignment horizontal="left" vertical="center" wrapText="1"/>
    </xf>
    <xf numFmtId="0" fontId="0" fillId="0" borderId="23" xfId="0" applyBorder="1" applyAlignment="1">
      <alignment horizontal="left" vertical="center" wrapText="1"/>
    </xf>
    <xf numFmtId="0" fontId="0" fillId="0" borderId="24" xfId="0" applyBorder="1" applyAlignment="1">
      <alignment horizontal="left" vertical="center" wrapText="1"/>
    </xf>
    <xf numFmtId="0" fontId="0" fillId="0" borderId="25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" fillId="0" borderId="23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20" xfId="0" applyFont="1" applyBorder="1" applyAlignment="1">
      <alignment horizontal="center"/>
    </xf>
    <xf numFmtId="0" fontId="0" fillId="0" borderId="21" xfId="0" applyBorder="1" applyAlignment="1">
      <alignment horizontal="center"/>
    </xf>
    <xf numFmtId="0" fontId="1" fillId="0" borderId="38" xfId="0" applyFont="1" applyBorder="1" applyAlignment="1">
      <alignment horizontal="center"/>
    </xf>
    <xf numFmtId="0" fontId="0" fillId="0" borderId="22" xfId="0" applyBorder="1" applyAlignment="1">
      <alignment horizontal="center"/>
    </xf>
    <xf numFmtId="0" fontId="1" fillId="0" borderId="12" xfId="0" applyFont="1" applyBorder="1" applyAlignment="1">
      <alignment wrapText="1"/>
    </xf>
    <xf numFmtId="0" fontId="1" fillId="0" borderId="14" xfId="0" applyFont="1" applyBorder="1" applyAlignment="1">
      <alignment wrapText="1"/>
    </xf>
    <xf numFmtId="0" fontId="1" fillId="0" borderId="17" xfId="0" applyFont="1" applyBorder="1" applyAlignment="1">
      <alignment wrapText="1"/>
    </xf>
    <xf numFmtId="0" fontId="1" fillId="0" borderId="19" xfId="0" applyFont="1" applyBorder="1" applyAlignment="1">
      <alignment wrapText="1"/>
    </xf>
    <xf numFmtId="0" fontId="12" fillId="3" borderId="0" xfId="0" applyFont="1" applyFill="1" applyAlignment="1">
      <alignment vertical="top" wrapText="1"/>
    </xf>
    <xf numFmtId="0" fontId="0" fillId="3" borderId="0" xfId="0" applyFill="1" applyAlignment="1">
      <alignment vertical="top" wrapText="1"/>
    </xf>
    <xf numFmtId="0" fontId="0" fillId="0" borderId="0" xfId="0" applyAlignment="1">
      <alignment wrapText="1"/>
    </xf>
    <xf numFmtId="0" fontId="0" fillId="0" borderId="0" xfId="0" applyAlignment="1"/>
    <xf numFmtId="0" fontId="1" fillId="0" borderId="0" xfId="0" applyFont="1" applyAlignment="1"/>
    <xf numFmtId="0" fontId="3" fillId="2" borderId="3" xfId="0" applyFont="1" applyFill="1" applyBorder="1" applyAlignment="1"/>
    <xf numFmtId="0" fontId="9" fillId="0" borderId="4" xfId="0" applyFont="1" applyBorder="1" applyAlignment="1"/>
    <xf numFmtId="0" fontId="9" fillId="0" borderId="5" xfId="0" applyFont="1" applyBorder="1" applyAlignme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meatsandsausages.com/hams-other-meats/hams" TargetMode="External"/><Relationship Id="rId2" Type="http://schemas.openxmlformats.org/officeDocument/2006/relationships/hyperlink" Target="https://www.fsis.usda.gov/wps/portal/fsis/topics/food-safety-education/get-answers/food-safety-fact-sheets/meat-preparation/bacon-and-food-safety/ct_index/!ut/p/a1/rVPJbsIwFPwWDhwt20mg4UipWEsQS2mSC3o4TjAiToitlvbr6xRVRbRsEvbB28z4rTjEPg4lvIkEtMgkbMpzWF-QManTRov0Rw3aJj1vPh4NWi3iTmsGEJwBePYRv90sn-323PU6lDgUv-IQh0zqXK9wECuhEMuk5lJXiTBrIbnZpSBklegsF0yV9yrnrDSw5OaQ8IgrkexPTEQ4YBA1WJ1yxIACcpY1G7mEOYgQtgTHoWBx68fyE6NJznredC54bgAXPD_m_wFciHz_itRYxbA1TMog6RUSMs6wn3CNQKp3Xijsx1kWIQUx1x8oBqaRWnGuzUPKQaO84DkU36WA_SWYxBhmhA5I2Gd6IWTEd_tEHhpEqJnGoanT7Xs2GTnHgH9qZQ84nZLAxOzhV6EzKb9oT2e0U3ukHYvi6Y1FcEHQvrNgj9xb0Lq34O0x7F_RKWK93YZN0-llc--0qbxbWz1PX1J3HQ8Gz7VN8lSfdD9ncZouPA_B0iW2uaxUvgDZ0Ea4/" TargetMode="External"/><Relationship Id="rId1" Type="http://schemas.openxmlformats.org/officeDocument/2006/relationships/hyperlink" Target="https://meatscience.org/TheMeatWeEat/docs/default-source/MeatWeEat/sullivan_factsheet.pdf?sfvrsn=c3bc81b3_0" TargetMode="External"/><Relationship Id="rId4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A57034-5A9B-44AE-88F2-2880834E03D7}">
  <dimension ref="A2:N22"/>
  <sheetViews>
    <sheetView tabSelected="1" workbookViewId="0">
      <selection activeCell="M28" sqref="M28"/>
    </sheetView>
  </sheetViews>
  <sheetFormatPr defaultRowHeight="14.25"/>
  <cols>
    <col min="6" max="6" width="9.5703125" customWidth="1"/>
    <col min="7" max="7" width="10" customWidth="1"/>
    <col min="8" max="8" width="9.28515625" customWidth="1"/>
    <col min="10" max="10" width="9.140625" customWidth="1"/>
    <col min="11" max="11" width="10.28515625" customWidth="1"/>
    <col min="12" max="12" width="13.85546875" customWidth="1"/>
    <col min="13" max="13" width="11" customWidth="1"/>
    <col min="14" max="14" width="10.85546875" customWidth="1"/>
  </cols>
  <sheetData>
    <row r="2" spans="1:14" ht="18">
      <c r="C2" s="137" t="s">
        <v>0</v>
      </c>
      <c r="D2" s="137"/>
      <c r="E2" s="137"/>
      <c r="F2" s="137"/>
      <c r="G2" s="137"/>
      <c r="H2" s="138"/>
      <c r="I2" s="138"/>
      <c r="J2" s="138"/>
      <c r="K2" s="138"/>
      <c r="L2" s="167"/>
    </row>
    <row r="4" spans="1:14">
      <c r="A4" t="s">
        <v>1</v>
      </c>
    </row>
    <row r="5" spans="1:14">
      <c r="A5" t="s">
        <v>2</v>
      </c>
    </row>
    <row r="6" spans="1:14">
      <c r="A6" t="s">
        <v>3</v>
      </c>
    </row>
    <row r="8" spans="1:14">
      <c r="F8" s="139" t="s">
        <v>4</v>
      </c>
      <c r="G8" s="136" t="s">
        <v>5</v>
      </c>
      <c r="H8" s="136" t="s">
        <v>6</v>
      </c>
      <c r="I8" s="136" t="s">
        <v>7</v>
      </c>
      <c r="J8" s="136" t="s">
        <v>8</v>
      </c>
      <c r="K8" s="136" t="s">
        <v>9</v>
      </c>
      <c r="L8" s="136" t="s">
        <v>10</v>
      </c>
      <c r="M8" s="136" t="s">
        <v>11</v>
      </c>
      <c r="N8" s="136" t="s">
        <v>12</v>
      </c>
    </row>
    <row r="9" spans="1:14">
      <c r="F9" s="139"/>
      <c r="G9" s="136"/>
      <c r="H9" s="136"/>
      <c r="I9" s="136"/>
      <c r="J9" s="136"/>
      <c r="K9" s="136"/>
      <c r="L9" s="136"/>
      <c r="M9" s="136"/>
      <c r="N9" s="136"/>
    </row>
    <row r="10" spans="1:14">
      <c r="A10" s="124" t="s">
        <v>13</v>
      </c>
      <c r="B10" s="125"/>
      <c r="C10" s="125"/>
      <c r="D10" s="125"/>
      <c r="E10" s="126"/>
      <c r="F10" s="127" t="s">
        <v>14</v>
      </c>
      <c r="G10" s="127" t="s">
        <v>14</v>
      </c>
      <c r="H10" s="127" t="s">
        <v>14</v>
      </c>
      <c r="I10" s="127"/>
      <c r="J10" s="127"/>
      <c r="K10" s="127"/>
      <c r="L10" s="127"/>
      <c r="M10" s="127"/>
      <c r="N10" s="127"/>
    </row>
    <row r="11" spans="1:14">
      <c r="A11" s="124" t="s">
        <v>15</v>
      </c>
      <c r="B11" s="125"/>
      <c r="C11" s="125"/>
      <c r="D11" s="125"/>
      <c r="E11" s="126"/>
      <c r="F11" s="127" t="s">
        <v>14</v>
      </c>
      <c r="G11" s="127" t="s">
        <v>14</v>
      </c>
      <c r="H11" s="127" t="s">
        <v>14</v>
      </c>
      <c r="I11" s="127" t="s">
        <v>14</v>
      </c>
      <c r="J11" s="127" t="s">
        <v>14</v>
      </c>
      <c r="K11" s="127" t="s">
        <v>14</v>
      </c>
      <c r="L11" s="127"/>
      <c r="M11" s="127"/>
      <c r="N11" s="127"/>
    </row>
    <row r="12" spans="1:14">
      <c r="A12" s="124" t="s">
        <v>16</v>
      </c>
      <c r="B12" s="125"/>
      <c r="C12" s="125"/>
      <c r="D12" s="125"/>
      <c r="E12" s="126"/>
      <c r="F12" s="127" t="s">
        <v>14</v>
      </c>
      <c r="G12" s="127" t="s">
        <v>14</v>
      </c>
      <c r="H12" s="127" t="s">
        <v>14</v>
      </c>
      <c r="I12" s="127"/>
      <c r="J12" s="127"/>
      <c r="K12" s="127"/>
      <c r="L12" s="127" t="s">
        <v>14</v>
      </c>
      <c r="M12" s="127" t="s">
        <v>14</v>
      </c>
      <c r="N12" s="127"/>
    </row>
    <row r="13" spans="1:14">
      <c r="A13" s="124" t="s">
        <v>17</v>
      </c>
      <c r="B13" s="125"/>
      <c r="C13" s="125"/>
      <c r="D13" s="125"/>
      <c r="E13" s="126"/>
      <c r="F13" s="127" t="s">
        <v>14</v>
      </c>
      <c r="G13" s="127" t="s">
        <v>14</v>
      </c>
      <c r="H13" s="127" t="s">
        <v>14</v>
      </c>
      <c r="I13" s="127"/>
      <c r="J13" s="127"/>
      <c r="K13" s="127" t="s">
        <v>14</v>
      </c>
      <c r="L13" s="127"/>
      <c r="M13" s="127"/>
      <c r="N13" s="127" t="s">
        <v>14</v>
      </c>
    </row>
    <row r="14" spans="1:14">
      <c r="A14" s="124" t="s">
        <v>18</v>
      </c>
      <c r="B14" s="125"/>
      <c r="C14" s="125"/>
      <c r="D14" s="125"/>
      <c r="E14" s="126"/>
      <c r="F14" s="127" t="s">
        <v>14</v>
      </c>
      <c r="G14" s="127" t="s">
        <v>14</v>
      </c>
      <c r="H14" s="127" t="s">
        <v>14</v>
      </c>
      <c r="I14" s="127"/>
      <c r="J14" s="127"/>
      <c r="K14" s="127"/>
      <c r="L14" s="127" t="s">
        <v>14</v>
      </c>
      <c r="M14" s="127"/>
      <c r="N14" s="127"/>
    </row>
    <row r="16" spans="1:14">
      <c r="A16" s="3" t="s">
        <v>19</v>
      </c>
    </row>
    <row r="17" spans="1:1">
      <c r="A17" s="3" t="s">
        <v>20</v>
      </c>
    </row>
    <row r="19" spans="1:1">
      <c r="A19" s="3" t="s">
        <v>21</v>
      </c>
    </row>
    <row r="21" spans="1:1">
      <c r="A21" s="3" t="s">
        <v>22</v>
      </c>
    </row>
    <row r="22" spans="1:1">
      <c r="A22" s="3" t="s">
        <v>23</v>
      </c>
    </row>
  </sheetData>
  <sheetProtection sheet="1" objects="1" scenarios="1" selectLockedCells="1"/>
  <mergeCells count="10">
    <mergeCell ref="M8:M9"/>
    <mergeCell ref="N8:N9"/>
    <mergeCell ref="C2:L2"/>
    <mergeCell ref="F8:F9"/>
    <mergeCell ref="H8:H9"/>
    <mergeCell ref="I8:I9"/>
    <mergeCell ref="J8:J9"/>
    <mergeCell ref="K8:K9"/>
    <mergeCell ref="L8:L9"/>
    <mergeCell ref="G8:G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89"/>
  <sheetViews>
    <sheetView zoomScale="80" zoomScaleNormal="80" workbookViewId="0">
      <selection activeCell="G9" sqref="G9"/>
    </sheetView>
  </sheetViews>
  <sheetFormatPr defaultColWidth="9.140625" defaultRowHeight="14.25"/>
  <cols>
    <col min="1" max="1" width="9.140625" style="1"/>
    <col min="2" max="2" width="28.5703125" style="1" customWidth="1"/>
    <col min="3" max="3" width="13" style="1" customWidth="1"/>
    <col min="4" max="4" width="9.140625" style="1"/>
    <col min="5" max="5" width="13.140625" style="1" customWidth="1"/>
    <col min="6" max="6" width="17.5703125" style="1" customWidth="1"/>
    <col min="7" max="7" width="19.42578125" style="1" customWidth="1"/>
    <col min="8" max="8" width="10.5703125" style="1" customWidth="1"/>
    <col min="9" max="9" width="14.140625" style="1" customWidth="1"/>
    <col min="10" max="10" width="12.5703125" style="1" customWidth="1"/>
    <col min="11" max="11" width="15.140625" style="1" customWidth="1"/>
    <col min="12" max="12" width="13.7109375" style="1" customWidth="1"/>
    <col min="13" max="13" width="14.28515625" style="1" customWidth="1"/>
    <col min="14" max="14" width="7.42578125" style="1" customWidth="1"/>
    <col min="15" max="15" width="12.28515625" style="1" customWidth="1"/>
    <col min="16" max="16" width="12.140625" style="1" customWidth="1"/>
    <col min="17" max="17" width="12.28515625" style="1" customWidth="1"/>
    <col min="18" max="18" width="13.42578125" style="1" customWidth="1"/>
    <col min="19" max="19" width="10.85546875" style="1" customWidth="1"/>
    <col min="20" max="20" width="23.7109375" style="1" customWidth="1"/>
    <col min="21" max="21" width="19" style="1" customWidth="1"/>
    <col min="22" max="22" width="11.42578125" style="1" customWidth="1"/>
    <col min="23" max="16384" width="9.140625" style="1"/>
  </cols>
  <sheetData>
    <row r="1" spans="1:24" ht="23.65" thickBot="1">
      <c r="A1" s="74" t="s">
        <v>24</v>
      </c>
      <c r="B1"/>
      <c r="C1"/>
      <c r="D1"/>
      <c r="E1"/>
      <c r="F1" s="87" t="s">
        <v>25</v>
      </c>
      <c r="G1" s="88"/>
      <c r="H1" s="88"/>
      <c r="I1" s="88"/>
      <c r="J1" s="88"/>
      <c r="K1"/>
      <c r="L1"/>
      <c r="M1"/>
      <c r="N1"/>
      <c r="O1"/>
      <c r="P1"/>
      <c r="Q1"/>
      <c r="R1"/>
      <c r="S1"/>
      <c r="T1"/>
      <c r="U1"/>
      <c r="V1"/>
      <c r="W1"/>
    </row>
    <row r="2" spans="1:24" ht="18.399999999999999" thickTop="1">
      <c r="A2" s="2" t="s">
        <v>26</v>
      </c>
      <c r="B2"/>
      <c r="C2"/>
      <c r="D2"/>
      <c r="E2" s="3" t="s">
        <v>27</v>
      </c>
      <c r="F2"/>
      <c r="G2"/>
      <c r="H2"/>
      <c r="I2"/>
      <c r="J2"/>
      <c r="K2"/>
      <c r="L2"/>
      <c r="M2"/>
      <c r="N2"/>
      <c r="O2" s="18" t="s">
        <v>28</v>
      </c>
      <c r="P2" s="19"/>
      <c r="Q2" s="19"/>
      <c r="R2" s="19"/>
      <c r="S2" s="19"/>
      <c r="T2" s="19"/>
      <c r="U2" s="19"/>
      <c r="V2" s="20"/>
      <c r="W2"/>
    </row>
    <row r="3" spans="1:24">
      <c r="A3" s="168" t="s">
        <v>29</v>
      </c>
      <c r="B3" s="168"/>
      <c r="C3" s="4" t="s">
        <v>30</v>
      </c>
      <c r="D3" s="4" t="s">
        <v>31</v>
      </c>
      <c r="E3" s="10" t="s">
        <v>32</v>
      </c>
      <c r="F3" s="4" t="s">
        <v>33</v>
      </c>
      <c r="G3" s="4" t="s">
        <v>34</v>
      </c>
      <c r="H3" s="104"/>
      <c r="I3" s="140" t="s">
        <v>35</v>
      </c>
      <c r="J3" s="140"/>
      <c r="K3" s="5"/>
      <c r="L3" s="5"/>
      <c r="M3" s="5"/>
      <c r="N3" s="5"/>
      <c r="O3" s="141" t="s">
        <v>36</v>
      </c>
      <c r="P3" s="142"/>
      <c r="Q3" s="142"/>
      <c r="R3" s="142"/>
      <c r="S3" s="142"/>
      <c r="T3" s="142"/>
      <c r="U3" s="142"/>
      <c r="V3" s="21"/>
      <c r="W3"/>
    </row>
    <row r="4" spans="1:24">
      <c r="A4" t="s">
        <v>37</v>
      </c>
      <c r="B4"/>
      <c r="C4"/>
      <c r="D4"/>
      <c r="E4"/>
      <c r="F4" s="5"/>
      <c r="G4" s="5"/>
      <c r="H4" s="6"/>
      <c r="I4" s="11"/>
      <c r="J4"/>
      <c r="K4"/>
      <c r="L4"/>
      <c r="M4"/>
      <c r="N4"/>
      <c r="O4" s="143" t="s">
        <v>38</v>
      </c>
      <c r="P4" s="144"/>
      <c r="Q4" s="144"/>
      <c r="R4" s="144"/>
      <c r="S4" s="144"/>
      <c r="T4" s="144"/>
      <c r="U4" s="144"/>
      <c r="V4" s="145"/>
      <c r="W4"/>
    </row>
    <row r="5" spans="1:24">
      <c r="A5" s="3"/>
      <c r="B5"/>
      <c r="C5" t="s">
        <v>39</v>
      </c>
      <c r="D5" t="s">
        <v>40</v>
      </c>
      <c r="E5"/>
      <c r="F5" s="5">
        <v>28.3</v>
      </c>
      <c r="G5" s="5">
        <v>25</v>
      </c>
      <c r="H5" s="6"/>
      <c r="I5" s="11">
        <f>(((F5*0.0625/453.59))*1000000)/G5</f>
        <v>155.97786547322471</v>
      </c>
      <c r="J5" t="s">
        <v>41</v>
      </c>
      <c r="K5"/>
      <c r="L5"/>
      <c r="M5"/>
      <c r="N5"/>
      <c r="O5" s="22" t="s">
        <v>42</v>
      </c>
      <c r="P5" s="3"/>
      <c r="Q5" s="3"/>
      <c r="R5" s="3"/>
      <c r="S5" s="3"/>
      <c r="T5" s="3"/>
      <c r="U5" s="3"/>
      <c r="V5" s="21"/>
      <c r="W5"/>
    </row>
    <row r="6" spans="1:24">
      <c r="A6" s="3"/>
      <c r="B6"/>
      <c r="C6" t="s">
        <v>43</v>
      </c>
      <c r="D6" t="s">
        <v>44</v>
      </c>
      <c r="E6"/>
      <c r="F6" s="5">
        <v>113.2</v>
      </c>
      <c r="G6" s="5">
        <v>100</v>
      </c>
      <c r="H6" s="6"/>
      <c r="I6" s="11">
        <f>(((F6*0.0625/453.59))*1000000)/G6</f>
        <v>155.97786547322471</v>
      </c>
      <c r="J6" t="s">
        <v>41</v>
      </c>
      <c r="K6"/>
      <c r="L6"/>
      <c r="M6"/>
      <c r="N6"/>
      <c r="O6" s="22" t="s">
        <v>45</v>
      </c>
      <c r="P6" s="3"/>
      <c r="Q6" s="3"/>
      <c r="R6" s="3"/>
      <c r="S6" s="3"/>
      <c r="T6" s="3"/>
      <c r="U6" s="3"/>
      <c r="V6" s="21"/>
      <c r="W6"/>
    </row>
    <row r="7" spans="1:24">
      <c r="A7"/>
      <c r="B7"/>
      <c r="C7"/>
      <c r="D7"/>
      <c r="E7"/>
      <c r="F7" s="5"/>
      <c r="G7" s="5"/>
      <c r="H7"/>
      <c r="I7" s="11"/>
      <c r="J7"/>
      <c r="K7"/>
      <c r="L7"/>
      <c r="M7"/>
      <c r="N7"/>
      <c r="O7" s="110" t="s">
        <v>46</v>
      </c>
      <c r="P7"/>
      <c r="Q7"/>
      <c r="R7"/>
      <c r="S7"/>
      <c r="T7"/>
      <c r="U7"/>
      <c r="V7" s="111"/>
      <c r="W7"/>
    </row>
    <row r="8" spans="1:24" ht="14.65" thickBot="1">
      <c r="A8"/>
      <c r="B8"/>
      <c r="C8" s="3"/>
      <c r="D8" s="3"/>
      <c r="E8" s="3"/>
      <c r="F8"/>
      <c r="G8" s="10" t="s">
        <v>47</v>
      </c>
      <c r="H8" s="10" t="s">
        <v>48</v>
      </c>
      <c r="I8" s="3" t="s">
        <v>49</v>
      </c>
      <c r="J8"/>
      <c r="K8" s="3" t="s">
        <v>50</v>
      </c>
      <c r="L8" s="3" t="s">
        <v>48</v>
      </c>
      <c r="M8" s="3" t="s">
        <v>49</v>
      </c>
      <c r="N8" s="3"/>
      <c r="O8" s="114" t="s">
        <v>51</v>
      </c>
      <c r="P8" s="112"/>
      <c r="Q8" s="112"/>
      <c r="R8" s="112"/>
      <c r="S8" s="112"/>
      <c r="T8" s="112"/>
      <c r="U8" s="112"/>
      <c r="V8" s="113"/>
      <c r="W8"/>
    </row>
    <row r="9" spans="1:24" ht="15" thickTop="1" thickBot="1">
      <c r="A9" s="147" t="s">
        <v>52</v>
      </c>
      <c r="B9" s="147"/>
      <c r="C9" s="147"/>
      <c r="D9" s="64"/>
      <c r="E9" t="s">
        <v>53</v>
      </c>
      <c r="F9"/>
      <c r="G9" s="65"/>
      <c r="H9" s="66"/>
      <c r="I9" s="63" t="e">
        <f>(((G9*(D9/100)/453.59))*1000000)/H9</f>
        <v>#DIV/0!</v>
      </c>
      <c r="J9"/>
      <c r="K9" s="65"/>
      <c r="L9" s="66"/>
      <c r="M9" s="63" t="e">
        <f>(((K9*(D9/100)/16))*1000000)/L9</f>
        <v>#DIV/0!</v>
      </c>
      <c r="N9" s="11"/>
      <c r="O9" s="23"/>
      <c r="P9" s="23"/>
      <c r="Q9" s="23"/>
      <c r="R9" s="23"/>
      <c r="S9" s="23"/>
      <c r="T9" s="23"/>
      <c r="U9" s="23"/>
      <c r="V9" s="23"/>
      <c r="W9"/>
    </row>
    <row r="10" spans="1:24" ht="14.65" thickTop="1">
      <c r="A10"/>
      <c r="B10"/>
      <c r="C10"/>
      <c r="D10"/>
      <c r="E10"/>
      <c r="F10"/>
      <c r="G10" s="8"/>
      <c r="H10"/>
      <c r="I10" s="12"/>
      <c r="J10" s="12"/>
      <c r="K10" s="12"/>
      <c r="L10" s="12"/>
      <c r="M10" s="13" t="s">
        <v>54</v>
      </c>
      <c r="N10" s="9"/>
      <c r="O10" s="23"/>
      <c r="P10" s="23"/>
      <c r="Q10" s="23"/>
      <c r="R10" s="23"/>
      <c r="S10" s="23"/>
      <c r="T10" s="23"/>
      <c r="U10" s="23"/>
      <c r="V10" s="23"/>
      <c r="W10"/>
    </row>
    <row r="11" spans="1:24">
      <c r="A11"/>
      <c r="B11"/>
      <c r="C11"/>
      <c r="D11"/>
      <c r="E11"/>
      <c r="F11"/>
      <c r="G11" s="8"/>
      <c r="H11"/>
      <c r="I11" s="12"/>
      <c r="J11" s="12"/>
      <c r="K11" s="12"/>
      <c r="L11" s="12"/>
      <c r="M11" s="13" t="s">
        <v>55</v>
      </c>
      <c r="N11" s="9"/>
      <c r="O11" s="23"/>
      <c r="P11" s="23"/>
      <c r="Q11" s="23"/>
      <c r="R11" s="23"/>
      <c r="S11" s="23"/>
      <c r="T11" s="23"/>
      <c r="U11" s="23"/>
      <c r="V11" s="23"/>
      <c r="W11"/>
      <c r="X11" s="1" t="s">
        <v>56</v>
      </c>
    </row>
    <row r="12" spans="1:24">
      <c r="A12"/>
      <c r="B12"/>
      <c r="C12"/>
      <c r="D12"/>
      <c r="E12"/>
      <c r="F12"/>
      <c r="G12" s="8"/>
      <c r="H12"/>
      <c r="I12"/>
      <c r="J12"/>
      <c r="K12"/>
      <c r="L12"/>
      <c r="M12" s="9"/>
      <c r="N12" s="9"/>
      <c r="O12" s="23"/>
      <c r="P12" s="23"/>
      <c r="Q12" s="23"/>
      <c r="R12" s="23"/>
      <c r="S12" s="23"/>
      <c r="T12" s="23"/>
      <c r="U12" s="23"/>
      <c r="V12" s="23"/>
      <c r="W12"/>
    </row>
    <row r="13" spans="1:24">
      <c r="A13" s="118"/>
      <c r="B13" s="118"/>
      <c r="C13" s="118"/>
      <c r="D13" s="118"/>
      <c r="E13" s="118"/>
      <c r="F13" s="118"/>
      <c r="G13" s="119"/>
      <c r="H13" s="118"/>
      <c r="I13" s="118"/>
      <c r="J13" s="118"/>
      <c r="K13" s="118"/>
      <c r="L13" s="118"/>
      <c r="M13" s="120"/>
      <c r="N13" s="120"/>
      <c r="O13" s="121"/>
      <c r="P13" s="121"/>
      <c r="Q13" s="121"/>
      <c r="R13" s="121"/>
      <c r="S13" s="121"/>
      <c r="T13" s="121"/>
      <c r="U13" s="121"/>
      <c r="V13" s="121"/>
      <c r="W13"/>
    </row>
    <row r="14" spans="1:24">
      <c r="A14"/>
      <c r="B14"/>
      <c r="C14"/>
      <c r="D14"/>
      <c r="E14"/>
      <c r="F14"/>
      <c r="G14" s="8"/>
      <c r="H14"/>
      <c r="I14"/>
      <c r="J14"/>
      <c r="K14"/>
      <c r="L14"/>
      <c r="M14" s="9"/>
      <c r="N14" s="9"/>
      <c r="O14"/>
      <c r="P14"/>
      <c r="Q14"/>
      <c r="R14"/>
      <c r="S14"/>
      <c r="T14"/>
      <c r="U14"/>
      <c r="V14"/>
      <c r="W14"/>
    </row>
    <row r="15" spans="1:24" ht="23.25">
      <c r="A15" s="74" t="s">
        <v>57</v>
      </c>
      <c r="B15"/>
      <c r="C15"/>
      <c r="D15"/>
      <c r="E15"/>
      <c r="F15"/>
      <c r="G15" s="8"/>
      <c r="H15"/>
      <c r="I15"/>
      <c r="J15"/>
      <c r="K15"/>
      <c r="L15"/>
      <c r="M15" s="9"/>
      <c r="N15" s="9"/>
      <c r="O15" s="169" t="s">
        <v>58</v>
      </c>
      <c r="P15" s="170"/>
      <c r="Q15" s="170"/>
      <c r="R15" s="170"/>
      <c r="S15" s="170"/>
      <c r="T15" s="170"/>
      <c r="U15" s="170"/>
      <c r="V15" s="171"/>
      <c r="W15"/>
    </row>
    <row r="16" spans="1:24" ht="18">
      <c r="A16" s="2" t="s">
        <v>59</v>
      </c>
      <c r="B16"/>
      <c r="C16"/>
      <c r="D16" s="3" t="s">
        <v>27</v>
      </c>
      <c r="E16" s="3"/>
      <c r="F16" t="s">
        <v>60</v>
      </c>
      <c r="G16"/>
      <c r="H16"/>
      <c r="I16"/>
      <c r="J16"/>
      <c r="K16"/>
      <c r="L16"/>
      <c r="M16"/>
      <c r="N16"/>
      <c r="O16" s="75" t="s">
        <v>61</v>
      </c>
      <c r="P16" s="26"/>
      <c r="Q16" s="26"/>
      <c r="R16" s="26"/>
      <c r="S16" s="26"/>
      <c r="T16" s="26"/>
      <c r="U16" s="26"/>
      <c r="V16" s="27"/>
      <c r="W16"/>
    </row>
    <row r="17" spans="1:23" ht="18">
      <c r="A17" s="3"/>
      <c r="B17"/>
      <c r="C17" s="3"/>
      <c r="D17" s="3"/>
      <c r="E17" s="3"/>
      <c r="F17" s="9"/>
      <c r="G17" s="10"/>
      <c r="H17" s="3"/>
      <c r="I17" s="3"/>
      <c r="J17" s="3"/>
      <c r="K17" s="3"/>
      <c r="L17"/>
      <c r="M17" s="3" t="s">
        <v>49</v>
      </c>
      <c r="N17" s="3"/>
      <c r="O17" s="75" t="s">
        <v>62</v>
      </c>
      <c r="P17" s="26"/>
      <c r="Q17" s="26"/>
      <c r="R17" s="26"/>
      <c r="S17" s="26"/>
      <c r="T17" s="26"/>
      <c r="U17" s="26"/>
      <c r="V17" s="27"/>
      <c r="W17"/>
    </row>
    <row r="18" spans="1:23" ht="14.65" thickBot="1">
      <c r="A18" s="3"/>
      <c r="B18" s="3"/>
      <c r="C18" s="3"/>
      <c r="D18" s="9" t="s">
        <v>63</v>
      </c>
      <c r="E18" s="30">
        <f>S25</f>
        <v>0</v>
      </c>
      <c r="F18"/>
      <c r="G18" s="8"/>
      <c r="H18"/>
      <c r="I18" s="7"/>
      <c r="J18"/>
      <c r="K18" s="16"/>
      <c r="L18" s="9" t="s">
        <v>64</v>
      </c>
      <c r="M18" s="85" t="e">
        <f>(($E$21)*($E$20/$E$22)*1000000)/$E$18</f>
        <v>#DIV/0!</v>
      </c>
      <c r="N18" s="15"/>
      <c r="O18" s="24" t="s">
        <v>65</v>
      </c>
      <c r="P18" s="25"/>
      <c r="Q18" s="25"/>
      <c r="R18" s="28"/>
      <c r="S18" s="29" t="s">
        <v>66</v>
      </c>
      <c r="T18" s="28"/>
      <c r="U18" s="26"/>
      <c r="V18" s="27"/>
      <c r="W18"/>
    </row>
    <row r="19" spans="1:23" ht="15" thickTop="1" thickBot="1">
      <c r="A19"/>
      <c r="B19" s="3"/>
      <c r="C19" s="3"/>
      <c r="D19" s="9" t="s">
        <v>67</v>
      </c>
      <c r="E19" s="37">
        <f>S19</f>
        <v>0</v>
      </c>
      <c r="F19"/>
      <c r="G19" s="8"/>
      <c r="H19"/>
      <c r="I19" s="12"/>
      <c r="J19" s="12"/>
      <c r="K19" s="12"/>
      <c r="L19" s="12"/>
      <c r="M19" s="13" t="s">
        <v>68</v>
      </c>
      <c r="N19" s="9"/>
      <c r="O19" s="70"/>
      <c r="P19" s="31" t="s">
        <v>69</v>
      </c>
      <c r="Q19" s="32">
        <f>O19/453.54</f>
        <v>0</v>
      </c>
      <c r="R19" s="31" t="s">
        <v>70</v>
      </c>
      <c r="S19" s="33">
        <f>Q19</f>
        <v>0</v>
      </c>
      <c r="T19" s="34" t="s">
        <v>71</v>
      </c>
      <c r="U19" s="35"/>
      <c r="V19" s="36"/>
      <c r="W19"/>
    </row>
    <row r="20" spans="1:23" ht="15" thickTop="1" thickBot="1">
      <c r="A20"/>
      <c r="B20" s="3"/>
      <c r="C20" s="3"/>
      <c r="D20" s="9" t="s">
        <v>72</v>
      </c>
      <c r="E20" s="40">
        <f>S26</f>
        <v>0</v>
      </c>
      <c r="F20"/>
      <c r="G20" s="8"/>
      <c r="H20"/>
      <c r="I20" s="12"/>
      <c r="J20" s="12"/>
      <c r="K20" s="12"/>
      <c r="L20" s="12"/>
      <c r="M20" s="13" t="s">
        <v>73</v>
      </c>
      <c r="N20" s="9"/>
      <c r="O20" s="64"/>
      <c r="P20" s="26" t="s">
        <v>69</v>
      </c>
      <c r="Q20" s="38">
        <f t="shared" ref="Q20:Q24" si="0">O20/453.54</f>
        <v>0</v>
      </c>
      <c r="R20" s="26" t="s">
        <v>70</v>
      </c>
      <c r="S20" s="39">
        <f>Q20</f>
        <v>0</v>
      </c>
      <c r="T20" s="26"/>
      <c r="U20" s="26"/>
      <c r="V20" s="27"/>
      <c r="W20"/>
    </row>
    <row r="21" spans="1:23" ht="15" thickTop="1" thickBot="1">
      <c r="A21"/>
      <c r="B21"/>
      <c r="C21"/>
      <c r="D21" s="9" t="s">
        <v>74</v>
      </c>
      <c r="E21" s="84">
        <f>E19*(E23/100)</f>
        <v>0</v>
      </c>
      <c r="F21"/>
      <c r="G21"/>
      <c r="H21"/>
      <c r="I21"/>
      <c r="J21"/>
      <c r="K21"/>
      <c r="L21"/>
      <c r="M21"/>
      <c r="N21" s="9"/>
      <c r="O21" s="64"/>
      <c r="P21" s="26" t="s">
        <v>69</v>
      </c>
      <c r="Q21" s="38">
        <f t="shared" si="0"/>
        <v>0</v>
      </c>
      <c r="R21" s="26" t="s">
        <v>70</v>
      </c>
      <c r="S21" s="39">
        <f t="shared" ref="S21:S24" si="1">Q21</f>
        <v>0</v>
      </c>
      <c r="T21" s="28"/>
      <c r="U21" s="26"/>
      <c r="V21" s="27"/>
      <c r="W21"/>
    </row>
    <row r="22" spans="1:23" ht="15" thickTop="1" thickBot="1">
      <c r="A22"/>
      <c r="B22"/>
      <c r="C22"/>
      <c r="D22" s="9" t="s">
        <v>75</v>
      </c>
      <c r="E22" s="97">
        <f>Q27</f>
        <v>0</v>
      </c>
      <c r="F22"/>
      <c r="G22" s="8"/>
      <c r="H22"/>
      <c r="I22"/>
      <c r="J22"/>
      <c r="K22"/>
      <c r="L22"/>
      <c r="M22" s="9"/>
      <c r="N22"/>
      <c r="O22" s="64"/>
      <c r="P22" s="26" t="s">
        <v>69</v>
      </c>
      <c r="Q22" s="38">
        <f t="shared" si="0"/>
        <v>0</v>
      </c>
      <c r="R22" s="26" t="s">
        <v>70</v>
      </c>
      <c r="S22" s="39">
        <f t="shared" si="1"/>
        <v>0</v>
      </c>
      <c r="T22" s="41"/>
      <c r="U22" s="26"/>
      <c r="V22" s="27"/>
      <c r="W22"/>
    </row>
    <row r="23" spans="1:23" ht="15" thickTop="1" thickBot="1">
      <c r="A23"/>
      <c r="B23"/>
      <c r="C23"/>
      <c r="D23" s="9" t="s">
        <v>52</v>
      </c>
      <c r="E23" s="64"/>
      <c r="F23" t="s">
        <v>53</v>
      </c>
      <c r="G23"/>
      <c r="H23"/>
      <c r="I23"/>
      <c r="J23"/>
      <c r="K23"/>
      <c r="L23"/>
      <c r="M23"/>
      <c r="N23"/>
      <c r="O23" s="64"/>
      <c r="P23" s="26" t="s">
        <v>69</v>
      </c>
      <c r="Q23" s="38">
        <f t="shared" si="0"/>
        <v>0</v>
      </c>
      <c r="R23" s="26" t="s">
        <v>70</v>
      </c>
      <c r="S23" s="39">
        <f t="shared" si="1"/>
        <v>0</v>
      </c>
      <c r="T23" s="41"/>
      <c r="U23" s="26"/>
      <c r="V23" s="27"/>
      <c r="W23"/>
    </row>
    <row r="24" spans="1:23" ht="15" thickTop="1" thickBot="1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 s="64"/>
      <c r="P24" s="26" t="s">
        <v>69</v>
      </c>
      <c r="Q24" s="38">
        <f t="shared" si="0"/>
        <v>0</v>
      </c>
      <c r="R24" s="26" t="s">
        <v>70</v>
      </c>
      <c r="S24" s="39">
        <f t="shared" si="1"/>
        <v>0</v>
      </c>
      <c r="T24" s="26"/>
      <c r="U24" s="26"/>
      <c r="V24" s="27"/>
      <c r="W24"/>
    </row>
    <row r="25" spans="1:23" ht="15" thickTop="1" thickBot="1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 s="24"/>
      <c r="P25" s="25"/>
      <c r="Q25" s="25"/>
      <c r="R25" s="26"/>
      <c r="S25" s="83">
        <f>SUM($S$19:$S$24)</f>
        <v>0</v>
      </c>
      <c r="T25" s="26" t="s">
        <v>76</v>
      </c>
      <c r="U25" s="26"/>
      <c r="V25" s="27"/>
      <c r="W25"/>
    </row>
    <row r="26" spans="1:23" ht="15" thickTop="1" thickBot="1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 s="24" t="s">
        <v>77</v>
      </c>
      <c r="P26" s="25"/>
      <c r="Q26" s="25"/>
      <c r="R26" s="26"/>
      <c r="S26" s="73"/>
      <c r="T26" s="26" t="s">
        <v>78</v>
      </c>
      <c r="U26" s="26"/>
      <c r="V26" s="27"/>
      <c r="W26"/>
    </row>
    <row r="27" spans="1:23" ht="15" thickTop="1" thickBot="1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 s="64"/>
      <c r="P27" s="42" t="s">
        <v>69</v>
      </c>
      <c r="Q27" s="43">
        <f t="shared" ref="Q27" si="2">O27/453.54</f>
        <v>0</v>
      </c>
      <c r="R27" s="42" t="s">
        <v>70</v>
      </c>
      <c r="S27" s="42"/>
      <c r="T27" s="42"/>
      <c r="U27" s="42"/>
      <c r="V27" s="44"/>
      <c r="W27"/>
    </row>
    <row r="28" spans="1:23" ht="14.65" thickTop="1">
      <c r="A28" s="118"/>
      <c r="B28" s="118"/>
      <c r="C28" s="118"/>
      <c r="D28" s="118"/>
      <c r="E28" s="118"/>
      <c r="F28" s="118"/>
      <c r="G28" s="118"/>
      <c r="H28" s="118"/>
      <c r="I28" s="118"/>
      <c r="J28" s="118"/>
      <c r="K28" s="118"/>
      <c r="L28" s="118"/>
      <c r="M28" s="118"/>
      <c r="N28" s="118"/>
      <c r="O28" s="118"/>
      <c r="P28" s="118"/>
      <c r="Q28" s="118"/>
      <c r="R28" s="118"/>
      <c r="S28" s="118"/>
      <c r="T28" s="118"/>
      <c r="U28" s="118"/>
      <c r="V28" s="118"/>
      <c r="W28"/>
    </row>
    <row r="29" spans="1:23" ht="23.65" thickBot="1">
      <c r="A29" s="74" t="s">
        <v>79</v>
      </c>
      <c r="B29"/>
      <c r="C29"/>
      <c r="D29"/>
      <c r="E29"/>
      <c r="F29"/>
      <c r="G29"/>
      <c r="H29"/>
      <c r="I29"/>
      <c r="J29"/>
      <c r="K29"/>
      <c r="L29"/>
      <c r="M29"/>
      <c r="N29" s="3"/>
      <c r="O29"/>
      <c r="P29"/>
      <c r="Q29"/>
      <c r="R29"/>
      <c r="S29"/>
      <c r="T29"/>
      <c r="U29"/>
      <c r="V29"/>
      <c r="W29"/>
    </row>
    <row r="30" spans="1:23" ht="18.399999999999999" thickBot="1">
      <c r="A30" s="2" t="s">
        <v>59</v>
      </c>
      <c r="B30"/>
      <c r="C30"/>
      <c r="D30" s="3" t="s">
        <v>27</v>
      </c>
      <c r="E30" s="3"/>
      <c r="F30" s="101" t="s">
        <v>80</v>
      </c>
      <c r="G30" s="88"/>
      <c r="H30"/>
      <c r="I30"/>
      <c r="J30"/>
      <c r="K30"/>
      <c r="L30"/>
      <c r="M30"/>
      <c r="N30" s="15"/>
      <c r="O30" s="156" t="s">
        <v>81</v>
      </c>
      <c r="P30" s="157"/>
      <c r="Q30" s="157"/>
      <c r="R30" s="157"/>
      <c r="S30" s="157"/>
      <c r="T30" s="157"/>
      <c r="U30" s="158" t="s">
        <v>82</v>
      </c>
      <c r="V30" s="159"/>
      <c r="W30"/>
    </row>
    <row r="31" spans="1:23" ht="18.75" thickTop="1" thickBot="1">
      <c r="A31" s="2"/>
      <c r="B31"/>
      <c r="C31" s="3" t="s">
        <v>83</v>
      </c>
      <c r="D31"/>
      <c r="E31"/>
      <c r="F31"/>
      <c r="G31"/>
      <c r="H31"/>
      <c r="I31" s="45"/>
      <c r="J31"/>
      <c r="K31"/>
      <c r="L31"/>
      <c r="M31"/>
      <c r="N31" s="9"/>
      <c r="O31" s="154" t="s">
        <v>84</v>
      </c>
      <c r="P31" s="155"/>
      <c r="Q31" s="155"/>
      <c r="R31"/>
      <c r="S31" s="3" t="s">
        <v>85</v>
      </c>
      <c r="T31"/>
      <c r="U31" s="160" t="s">
        <v>86</v>
      </c>
      <c r="V31" s="161"/>
      <c r="W31"/>
    </row>
    <row r="32" spans="1:23" ht="15" thickTop="1" thickBot="1">
      <c r="A32" s="3"/>
      <c r="B32"/>
      <c r="C32" s="3"/>
      <c r="D32" s="3"/>
      <c r="E32" s="3"/>
      <c r="F32" s="9" t="s">
        <v>87</v>
      </c>
      <c r="G32" s="10" t="s">
        <v>88</v>
      </c>
      <c r="H32" s="3" t="s">
        <v>89</v>
      </c>
      <c r="I32" s="3"/>
      <c r="J32" s="3"/>
      <c r="K32" s="3"/>
      <c r="L32" s="3"/>
      <c r="M32" s="3" t="s">
        <v>49</v>
      </c>
      <c r="N32" s="9"/>
      <c r="O32" s="50" t="s">
        <v>90</v>
      </c>
      <c r="P32" s="69">
        <v>12699</v>
      </c>
      <c r="Q32" t="s">
        <v>69</v>
      </c>
      <c r="R32"/>
      <c r="S32" s="8" t="s">
        <v>91</v>
      </c>
      <c r="T32" s="69">
        <v>1500</v>
      </c>
      <c r="U32" s="162"/>
      <c r="V32" s="163"/>
      <c r="W32"/>
    </row>
    <row r="33" spans="1:23" ht="15" thickTop="1" thickBot="1">
      <c r="A33" s="147" t="s">
        <v>52</v>
      </c>
      <c r="B33" s="147"/>
      <c r="C33" s="147"/>
      <c r="D33" s="64">
        <v>6.25</v>
      </c>
      <c r="E33" t="s">
        <v>53</v>
      </c>
      <c r="F33" s="100">
        <f>T35</f>
        <v>27.999735414737398</v>
      </c>
      <c r="G33" s="100">
        <f>T32</f>
        <v>1500</v>
      </c>
      <c r="H33" s="100">
        <f>(T34-T33)/T33</f>
        <v>0.25</v>
      </c>
      <c r="I33" s="7"/>
      <c r="J33"/>
      <c r="K33"/>
      <c r="L33" s="9" t="s">
        <v>64</v>
      </c>
      <c r="M33" s="86">
        <f>((F33*(D33/100))*H33*1000000)/T32</f>
        <v>291.6639105701812</v>
      </c>
      <c r="N33" s="9"/>
      <c r="O33" s="50" t="s">
        <v>92</v>
      </c>
      <c r="P33" s="69">
        <v>680310</v>
      </c>
      <c r="Q33" t="s">
        <v>69</v>
      </c>
      <c r="R33"/>
      <c r="S33" s="8" t="s">
        <v>93</v>
      </c>
      <c r="T33" s="105">
        <v>600</v>
      </c>
      <c r="U33" s="106" t="s">
        <v>94</v>
      </c>
      <c r="V33" s="69">
        <v>568</v>
      </c>
      <c r="W33"/>
    </row>
    <row r="34" spans="1:23" ht="15" thickTop="1" thickBot="1">
      <c r="A34"/>
      <c r="B34"/>
      <c r="C34"/>
      <c r="D34"/>
      <c r="E34"/>
      <c r="F34"/>
      <c r="G34" s="14"/>
      <c r="H34" s="12"/>
      <c r="I34" s="12"/>
      <c r="J34" s="12"/>
      <c r="K34" s="12"/>
      <c r="L34" s="12"/>
      <c r="M34" s="13" t="s">
        <v>95</v>
      </c>
      <c r="N34" s="9"/>
      <c r="O34" s="50" t="s">
        <v>96</v>
      </c>
      <c r="P34" s="98">
        <f>P32/453.54</f>
        <v>27.999735414737398</v>
      </c>
      <c r="Q34" t="s">
        <v>70</v>
      </c>
      <c r="R34"/>
      <c r="S34" s="8" t="s">
        <v>97</v>
      </c>
      <c r="T34" s="105">
        <v>750</v>
      </c>
      <c r="U34" s="106" t="s">
        <v>98</v>
      </c>
      <c r="V34" s="69">
        <v>5</v>
      </c>
      <c r="W34"/>
    </row>
    <row r="35" spans="1:23" ht="14.65" thickTop="1">
      <c r="A35"/>
      <c r="B35"/>
      <c r="C35"/>
      <c r="D35"/>
      <c r="E35"/>
      <c r="F35"/>
      <c r="G35" s="14"/>
      <c r="H35" s="12"/>
      <c r="I35" s="12"/>
      <c r="J35" s="12"/>
      <c r="K35" s="12"/>
      <c r="L35" s="12"/>
      <c r="M35" s="13" t="s">
        <v>99</v>
      </c>
      <c r="N35"/>
      <c r="O35" s="50" t="s">
        <v>100</v>
      </c>
      <c r="P35" s="99">
        <f>P33/453.54</f>
        <v>1500</v>
      </c>
      <c r="Q35" t="s">
        <v>70</v>
      </c>
      <c r="R35"/>
      <c r="S35" s="8" t="s">
        <v>101</v>
      </c>
      <c r="T35" s="109">
        <f>(T32/P35)*P34</f>
        <v>27.999735414737398</v>
      </c>
      <c r="U35" s="106" t="s">
        <v>102</v>
      </c>
      <c r="V35" s="108">
        <f>(V33/P33)*(P32/453.54)</f>
        <v>2.3377356963106291E-2</v>
      </c>
      <c r="W35"/>
    </row>
    <row r="36" spans="1:23" ht="14.65" thickBot="1">
      <c r="A36"/>
      <c r="B36"/>
      <c r="C36"/>
      <c r="D36"/>
      <c r="E36"/>
      <c r="F36"/>
      <c r="G36" s="8"/>
      <c r="H36"/>
      <c r="I36"/>
      <c r="J36"/>
      <c r="K36"/>
      <c r="L36"/>
      <c r="M36" s="9"/>
      <c r="N36"/>
      <c r="O36" s="91"/>
      <c r="P36" s="51"/>
      <c r="Q36" s="51"/>
      <c r="R36" s="51"/>
      <c r="S36" s="51"/>
      <c r="T36" s="51"/>
      <c r="U36" s="107"/>
      <c r="V36" s="52"/>
      <c r="W36"/>
    </row>
    <row r="37" spans="1:23">
      <c r="A37" s="118"/>
      <c r="B37" s="118"/>
      <c r="C37" s="118"/>
      <c r="D37" s="118"/>
      <c r="E37" s="118"/>
      <c r="F37" s="118"/>
      <c r="G37" s="119"/>
      <c r="H37" s="118"/>
      <c r="I37" s="118"/>
      <c r="J37" s="118"/>
      <c r="K37" s="118"/>
      <c r="L37" s="118"/>
      <c r="M37" s="120"/>
      <c r="N37" s="118"/>
      <c r="O37" s="122"/>
      <c r="P37" s="118"/>
      <c r="Q37" s="118"/>
      <c r="R37" s="118"/>
      <c r="S37" s="118"/>
      <c r="T37" s="118"/>
      <c r="U37" s="118"/>
      <c r="V37" s="118"/>
      <c r="W37"/>
    </row>
    <row r="38" spans="1:23" ht="14.65" thickBot="1">
      <c r="A38"/>
      <c r="B38"/>
      <c r="C38"/>
      <c r="D38"/>
      <c r="E38"/>
      <c r="F38"/>
      <c r="G38" s="8"/>
      <c r="H38"/>
      <c r="I38"/>
      <c r="J38"/>
      <c r="K38"/>
      <c r="L38"/>
      <c r="M38" s="9"/>
      <c r="N38"/>
      <c r="O38"/>
      <c r="P38"/>
      <c r="Q38"/>
      <c r="R38"/>
      <c r="S38"/>
      <c r="T38"/>
      <c r="U38"/>
      <c r="V38"/>
      <c r="W38"/>
    </row>
    <row r="39" spans="1:23" ht="23.65" thickBot="1">
      <c r="A39" s="74" t="s">
        <v>103</v>
      </c>
      <c r="B39"/>
      <c r="C39"/>
      <c r="D39"/>
      <c r="E39"/>
      <c r="F39"/>
      <c r="G39"/>
      <c r="H39"/>
      <c r="I39"/>
      <c r="J39"/>
      <c r="K39"/>
      <c r="L39"/>
      <c r="M39"/>
      <c r="N39" s="3"/>
      <c r="O39" s="46" t="s">
        <v>104</v>
      </c>
      <c r="P39" s="47"/>
      <c r="Q39" s="47"/>
      <c r="R39" s="47"/>
      <c r="S39" s="47"/>
      <c r="T39" s="47"/>
      <c r="U39" s="47"/>
      <c r="V39" s="48"/>
      <c r="W39"/>
    </row>
    <row r="40" spans="1:23" ht="18">
      <c r="A40" s="2" t="s">
        <v>59</v>
      </c>
      <c r="B40"/>
      <c r="C40"/>
      <c r="D40" s="3" t="s">
        <v>27</v>
      </c>
      <c r="E40" s="3"/>
      <c r="F40" s="101" t="s">
        <v>80</v>
      </c>
      <c r="G40" s="88"/>
      <c r="H40"/>
      <c r="I40"/>
      <c r="J40"/>
      <c r="K40"/>
      <c r="L40"/>
      <c r="M40"/>
      <c r="N40" s="15"/>
      <c r="O40" s="49" t="s">
        <v>105</v>
      </c>
      <c r="P40"/>
      <c r="Q40"/>
      <c r="R40"/>
      <c r="S40"/>
      <c r="T40"/>
      <c r="U40" s="148" t="s">
        <v>106</v>
      </c>
      <c r="V40" s="149"/>
      <c r="W40"/>
    </row>
    <row r="41" spans="1:23" ht="18.399999999999999" thickBot="1">
      <c r="A41" s="2"/>
      <c r="B41"/>
      <c r="C41" s="3" t="s">
        <v>107</v>
      </c>
      <c r="D41"/>
      <c r="E41"/>
      <c r="F41"/>
      <c r="G41"/>
      <c r="H41"/>
      <c r="I41" s="45"/>
      <c r="J41"/>
      <c r="K41"/>
      <c r="L41"/>
      <c r="M41"/>
      <c r="N41" s="9"/>
      <c r="O41" s="50" t="s">
        <v>108</v>
      </c>
      <c r="P41"/>
      <c r="Q41"/>
      <c r="R41"/>
      <c r="S41"/>
      <c r="T41"/>
      <c r="U41" s="150"/>
      <c r="V41" s="151"/>
      <c r="W41"/>
    </row>
    <row r="42" spans="1:23" ht="15" thickTop="1" thickBot="1">
      <c r="A42" s="3"/>
      <c r="B42"/>
      <c r="C42" s="3"/>
      <c r="D42" s="3"/>
      <c r="E42" s="3"/>
      <c r="F42" s="10"/>
      <c r="G42" s="10" t="s">
        <v>109</v>
      </c>
      <c r="H42" s="3" t="s">
        <v>110</v>
      </c>
      <c r="I42" s="3" t="s">
        <v>111</v>
      </c>
      <c r="J42"/>
      <c r="K42" s="3"/>
      <c r="L42" s="3"/>
      <c r="M42" s="3"/>
      <c r="N42" s="9"/>
      <c r="O42" s="50"/>
      <c r="P42"/>
      <c r="Q42" s="8" t="s">
        <v>112</v>
      </c>
      <c r="R42" s="64"/>
      <c r="S42" s="3" t="s">
        <v>113</v>
      </c>
      <c r="T42"/>
      <c r="U42" s="150"/>
      <c r="V42" s="151"/>
      <c r="W42"/>
    </row>
    <row r="43" spans="1:23" ht="15" thickTop="1" thickBot="1">
      <c r="A43" s="147" t="s">
        <v>52</v>
      </c>
      <c r="B43" s="147"/>
      <c r="C43" s="147"/>
      <c r="D43" s="64">
        <v>6.25</v>
      </c>
      <c r="E43" t="s">
        <v>53</v>
      </c>
      <c r="F43" s="5"/>
      <c r="G43" s="5"/>
      <c r="H43" s="115">
        <f>100*(V33/453.54)/V34</f>
        <v>25.047404859549324</v>
      </c>
      <c r="I43" s="7"/>
      <c r="J43"/>
      <c r="K43"/>
      <c r="L43" s="9" t="s">
        <v>114</v>
      </c>
      <c r="M43" s="86">
        <f>(((V35*(D43/100))*(H43/100)*1000000)/(V33/453.54))</f>
        <v>292.21696203882868</v>
      </c>
      <c r="N43" s="9"/>
      <c r="O43" s="50"/>
      <c r="P43"/>
      <c r="Q43" s="8" t="s">
        <v>115</v>
      </c>
      <c r="R43" s="116">
        <f>R42/1.2335</f>
        <v>0</v>
      </c>
      <c r="S43"/>
      <c r="T43"/>
      <c r="U43" s="150"/>
      <c r="V43" s="151"/>
      <c r="W43"/>
    </row>
    <row r="44" spans="1:23" ht="14.65" thickTop="1">
      <c r="A44"/>
      <c r="B44"/>
      <c r="C44"/>
      <c r="D44"/>
      <c r="E44"/>
      <c r="F44"/>
      <c r="G44" s="14"/>
      <c r="H44" s="12"/>
      <c r="I44" s="12"/>
      <c r="J44" s="12"/>
      <c r="K44" s="12"/>
      <c r="L44" s="12"/>
      <c r="M44" s="13" t="s">
        <v>95</v>
      </c>
      <c r="N44" s="9"/>
      <c r="O44" s="49"/>
      <c r="P44"/>
      <c r="Q44"/>
      <c r="R44"/>
      <c r="S44"/>
      <c r="T44"/>
      <c r="U44" s="150"/>
      <c r="V44" s="151"/>
      <c r="W44"/>
    </row>
    <row r="45" spans="1:23" ht="14.65" thickBot="1">
      <c r="A45"/>
      <c r="B45"/>
      <c r="C45"/>
      <c r="D45"/>
      <c r="E45"/>
      <c r="F45"/>
      <c r="G45" s="14"/>
      <c r="H45" s="12"/>
      <c r="I45" s="12"/>
      <c r="J45" s="12"/>
      <c r="K45" s="12"/>
      <c r="L45" s="12"/>
      <c r="M45" s="13" t="s">
        <v>99</v>
      </c>
      <c r="N45" s="9"/>
      <c r="O45" s="50" t="s">
        <v>116</v>
      </c>
      <c r="P45"/>
      <c r="Q45"/>
      <c r="R45"/>
      <c r="S45"/>
      <c r="T45"/>
      <c r="U45" s="152"/>
      <c r="V45" s="153"/>
      <c r="W45"/>
    </row>
    <row r="46" spans="1:23" ht="18" customHeight="1" thickTop="1" thickBot="1">
      <c r="A46"/>
      <c r="B46"/>
      <c r="C46"/>
      <c r="D46"/>
      <c r="E46"/>
      <c r="F46"/>
      <c r="G46" s="146" t="s">
        <v>117</v>
      </c>
      <c r="H46" s="146"/>
      <c r="I46" s="146"/>
      <c r="J46" s="146"/>
      <c r="K46" s="146"/>
      <c r="L46" s="146"/>
      <c r="M46" s="146"/>
      <c r="N46" s="9"/>
      <c r="O46" s="50"/>
      <c r="P46"/>
      <c r="Q46" s="8" t="s">
        <v>118</v>
      </c>
      <c r="R46" s="64"/>
      <c r="S46" s="3" t="s">
        <v>113</v>
      </c>
      <c r="T46"/>
      <c r="U46" s="93"/>
      <c r="V46" s="94"/>
      <c r="W46"/>
    </row>
    <row r="47" spans="1:23" ht="15" thickTop="1" thickBot="1">
      <c r="A47"/>
      <c r="B47"/>
      <c r="C47"/>
      <c r="D47"/>
      <c r="E47"/>
      <c r="F47"/>
      <c r="G47" s="146"/>
      <c r="H47" s="146"/>
      <c r="I47" s="146"/>
      <c r="J47" s="146"/>
      <c r="K47" s="146"/>
      <c r="L47" s="146"/>
      <c r="M47" s="146"/>
      <c r="N47"/>
      <c r="O47" s="89"/>
      <c r="P47" s="51"/>
      <c r="Q47" s="90" t="s">
        <v>119</v>
      </c>
      <c r="R47" s="117">
        <f>R46/1.1895</f>
        <v>0</v>
      </c>
      <c r="S47" s="51"/>
      <c r="T47" s="51"/>
      <c r="U47" s="95"/>
      <c r="V47" s="96"/>
      <c r="W47"/>
    </row>
    <row r="48" spans="1:23">
      <c r="A48" s="118"/>
      <c r="B48" s="118"/>
      <c r="C48" s="118"/>
      <c r="D48" s="118"/>
      <c r="E48" s="118"/>
      <c r="F48" s="118"/>
      <c r="G48" s="123"/>
      <c r="H48" s="123"/>
      <c r="I48" s="123"/>
      <c r="J48" s="123"/>
      <c r="K48" s="123"/>
      <c r="L48" s="123"/>
      <c r="M48" s="123"/>
      <c r="N48" s="118"/>
      <c r="O48" s="118"/>
      <c r="P48" s="118"/>
      <c r="Q48" s="118"/>
      <c r="R48" s="118"/>
      <c r="S48" s="118"/>
      <c r="T48" s="118"/>
      <c r="U48" s="118"/>
      <c r="V48" s="118"/>
      <c r="W48"/>
    </row>
    <row r="49" spans="1:23" ht="16.5" customHeight="1">
      <c r="A49"/>
      <c r="B49"/>
      <c r="C49"/>
      <c r="D49"/>
      <c r="E49"/>
      <c r="F49"/>
      <c r="G49" s="53"/>
      <c r="H49" s="53"/>
      <c r="I49" s="53"/>
      <c r="J49" s="53"/>
      <c r="K49" s="53"/>
      <c r="L49" s="53"/>
      <c r="M49" s="53"/>
      <c r="N49"/>
      <c r="O49"/>
      <c r="P49"/>
      <c r="Q49"/>
      <c r="R49"/>
      <c r="S49"/>
      <c r="T49"/>
      <c r="U49"/>
      <c r="V49"/>
      <c r="W49"/>
    </row>
    <row r="50" spans="1:23" ht="23.65" thickBot="1">
      <c r="A50" s="74" t="s">
        <v>120</v>
      </c>
      <c r="B50"/>
      <c r="C50"/>
      <c r="D50"/>
      <c r="E50"/>
      <c r="F50"/>
      <c r="G50"/>
      <c r="H50"/>
      <c r="I50"/>
      <c r="J50"/>
      <c r="K50"/>
      <c r="L50"/>
      <c r="M50"/>
      <c r="N50" s="3"/>
      <c r="O50"/>
      <c r="P50"/>
      <c r="Q50"/>
      <c r="R50"/>
      <c r="S50"/>
      <c r="T50"/>
      <c r="U50"/>
      <c r="V50"/>
      <c r="W50"/>
    </row>
    <row r="51" spans="1:23" ht="18">
      <c r="A51" s="2" t="s">
        <v>59</v>
      </c>
      <c r="B51"/>
      <c r="C51"/>
      <c r="D51" s="3" t="s">
        <v>27</v>
      </c>
      <c r="E51" s="3"/>
      <c r="F51" s="101" t="s">
        <v>121</v>
      </c>
      <c r="G51" s="88"/>
      <c r="H51"/>
      <c r="I51"/>
      <c r="J51"/>
      <c r="K51"/>
      <c r="L51"/>
      <c r="M51"/>
      <c r="N51" s="15"/>
      <c r="O51" s="156" t="s">
        <v>81</v>
      </c>
      <c r="P51" s="157"/>
      <c r="Q51" s="157"/>
      <c r="R51" s="157"/>
      <c r="S51" s="157"/>
      <c r="T51" s="157"/>
      <c r="U51" s="106"/>
    </row>
    <row r="52" spans="1:23" ht="18.399999999999999" thickBot="1">
      <c r="A52" s="2"/>
      <c r="B52"/>
      <c r="C52" s="3" t="s">
        <v>83</v>
      </c>
      <c r="D52"/>
      <c r="E52"/>
      <c r="F52"/>
      <c r="G52"/>
      <c r="H52"/>
      <c r="I52" s="45"/>
      <c r="J52"/>
      <c r="K52"/>
      <c r="L52"/>
      <c r="M52"/>
      <c r="N52" s="9"/>
      <c r="O52" s="154" t="s">
        <v>84</v>
      </c>
      <c r="P52" s="155"/>
      <c r="Q52" s="155"/>
      <c r="R52"/>
      <c r="S52" s="3" t="s">
        <v>85</v>
      </c>
      <c r="T52"/>
      <c r="U52" s="106"/>
    </row>
    <row r="53" spans="1:23" ht="15" thickTop="1" thickBot="1">
      <c r="A53" s="3"/>
      <c r="B53"/>
      <c r="C53" s="3"/>
      <c r="D53" s="3"/>
      <c r="E53" s="3"/>
      <c r="F53" s="9" t="s">
        <v>87</v>
      </c>
      <c r="G53" s="10" t="s">
        <v>88</v>
      </c>
      <c r="H53" s="3" t="s">
        <v>122</v>
      </c>
      <c r="I53" s="3"/>
      <c r="J53" s="3"/>
      <c r="K53" s="3"/>
      <c r="L53" s="3"/>
      <c r="M53" s="3" t="s">
        <v>49</v>
      </c>
      <c r="N53" s="9"/>
      <c r="O53" s="50" t="s">
        <v>90</v>
      </c>
      <c r="P53" s="69">
        <v>1814</v>
      </c>
      <c r="Q53" t="s">
        <v>69</v>
      </c>
      <c r="R53"/>
      <c r="S53" s="8" t="s">
        <v>123</v>
      </c>
      <c r="T53" s="105">
        <v>800</v>
      </c>
      <c r="U53" s="106"/>
    </row>
    <row r="54" spans="1:23" ht="15" thickTop="1" thickBot="1">
      <c r="A54" s="147" t="s">
        <v>52</v>
      </c>
      <c r="B54" s="147"/>
      <c r="C54" s="147"/>
      <c r="D54" s="64">
        <v>6.25</v>
      </c>
      <c r="E54" t="s">
        <v>53</v>
      </c>
      <c r="F54" s="100">
        <f>T55</f>
        <v>3.9996472196498654</v>
      </c>
      <c r="G54" s="100">
        <f>T53</f>
        <v>800</v>
      </c>
      <c r="H54" s="100">
        <f>T54</f>
        <v>600</v>
      </c>
      <c r="I54" s="7"/>
      <c r="J54"/>
      <c r="K54"/>
      <c r="L54" s="9" t="s">
        <v>64</v>
      </c>
      <c r="M54" s="86">
        <f>((F54*(D54/100))*1000000)/(G54+H54)</f>
        <v>178.5556794486547</v>
      </c>
      <c r="N54" s="9"/>
      <c r="O54" s="50" t="s">
        <v>92</v>
      </c>
      <c r="P54" s="69">
        <v>362832</v>
      </c>
      <c r="Q54" t="s">
        <v>69</v>
      </c>
      <c r="R54"/>
      <c r="S54" s="8" t="s">
        <v>93</v>
      </c>
      <c r="T54" s="105">
        <v>600</v>
      </c>
      <c r="U54" s="106"/>
    </row>
    <row r="55" spans="1:23" ht="14.65" thickTop="1">
      <c r="A55"/>
      <c r="B55"/>
      <c r="C55"/>
      <c r="D55"/>
      <c r="E55"/>
      <c r="F55"/>
      <c r="G55" s="14"/>
      <c r="H55" s="12"/>
      <c r="I55" s="12"/>
      <c r="J55" s="12"/>
      <c r="K55" s="12"/>
      <c r="L55" s="12"/>
      <c r="M55" s="13" t="s">
        <v>95</v>
      </c>
      <c r="N55" s="9"/>
      <c r="O55" s="50" t="s">
        <v>96</v>
      </c>
      <c r="P55" s="98">
        <f>P53/453.54</f>
        <v>3.9996472196498654</v>
      </c>
      <c r="Q55" t="s">
        <v>70</v>
      </c>
      <c r="R55"/>
      <c r="S55" s="8" t="s">
        <v>101</v>
      </c>
      <c r="T55" s="109">
        <f>(T53/P56)*P55</f>
        <v>3.9996472196498654</v>
      </c>
      <c r="U55" s="106"/>
    </row>
    <row r="56" spans="1:23">
      <c r="A56"/>
      <c r="B56"/>
      <c r="C56"/>
      <c r="D56"/>
      <c r="E56"/>
      <c r="F56"/>
      <c r="G56" s="14"/>
      <c r="H56" s="12"/>
      <c r="I56" s="12"/>
      <c r="J56" s="12"/>
      <c r="K56" s="12"/>
      <c r="L56" s="12"/>
      <c r="M56" s="13" t="s">
        <v>99</v>
      </c>
      <c r="N56"/>
      <c r="O56" s="50" t="s">
        <v>100</v>
      </c>
      <c r="P56" s="99">
        <f>P54/453.54</f>
        <v>800</v>
      </c>
      <c r="Q56" t="s">
        <v>70</v>
      </c>
      <c r="R56"/>
      <c r="U56" s="106"/>
    </row>
    <row r="57" spans="1:23" ht="14.65" thickBot="1">
      <c r="A57"/>
      <c r="B57"/>
      <c r="C57"/>
      <c r="D57"/>
      <c r="E57"/>
      <c r="F57"/>
      <c r="G57" s="8"/>
      <c r="H57"/>
      <c r="I57"/>
      <c r="J57"/>
      <c r="K57"/>
      <c r="L57"/>
      <c r="M57" s="9"/>
      <c r="N57"/>
      <c r="O57" s="91"/>
      <c r="P57" s="51"/>
      <c r="Q57" s="51"/>
      <c r="R57" s="51"/>
      <c r="S57" s="51"/>
      <c r="T57" s="51"/>
      <c r="U57" s="106"/>
    </row>
    <row r="58" spans="1:23">
      <c r="A58"/>
      <c r="B58"/>
      <c r="C58"/>
      <c r="D58"/>
      <c r="E58"/>
      <c r="F58"/>
      <c r="G58" s="8"/>
      <c r="H58"/>
      <c r="I58"/>
      <c r="J58"/>
      <c r="K58"/>
      <c r="L58"/>
      <c r="M58" s="9"/>
      <c r="N58"/>
      <c r="O58" s="3"/>
      <c r="P58"/>
      <c r="Q58"/>
      <c r="R58"/>
      <c r="S58"/>
      <c r="T58"/>
      <c r="U58"/>
      <c r="V58"/>
      <c r="W58"/>
    </row>
    <row r="59" spans="1:23" ht="30" customHeight="1"/>
    <row r="89" spans="9:9">
      <c r="I89" s="1" t="s">
        <v>56</v>
      </c>
    </row>
  </sheetData>
  <sheetProtection sheet="1" selectLockedCells="1"/>
  <mergeCells count="17">
    <mergeCell ref="O51:T51"/>
    <mergeCell ref="O52:Q52"/>
    <mergeCell ref="A54:C54"/>
    <mergeCell ref="A3:B3"/>
    <mergeCell ref="I3:J3"/>
    <mergeCell ref="O3:U3"/>
    <mergeCell ref="O4:V4"/>
    <mergeCell ref="G46:M47"/>
    <mergeCell ref="A9:C9"/>
    <mergeCell ref="A33:C33"/>
    <mergeCell ref="A43:C43"/>
    <mergeCell ref="O15:V15"/>
    <mergeCell ref="U40:V45"/>
    <mergeCell ref="O31:Q31"/>
    <mergeCell ref="O30:T30"/>
    <mergeCell ref="U30:V30"/>
    <mergeCell ref="U31:V32"/>
  </mergeCells>
  <hyperlinks>
    <hyperlink ref="O4" r:id="rId1" xr:uid="{BD6DCC03-99A7-4E1F-AC43-1B53FCF14212}"/>
    <hyperlink ref="O7" r:id="rId2" display="Bacon and Food Safety - USDA-FSIS Fact Sheet" xr:uid="{3AD3B4C6-2828-4585-A8B9-CC1D7325D509}"/>
    <hyperlink ref="O8" r:id="rId3" display="Meats and Sausages" xr:uid="{CAAB18E6-D21C-4E91-A0C2-AF17DD2DD47F}"/>
  </hyperlinks>
  <pageMargins left="0" right="0" top="0.5" bottom="0.5" header="0.05" footer="0.05"/>
  <pageSetup paperSize="5" orientation="landscape"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470130-F1CF-4F34-B93C-BB19AF81E626}">
  <dimension ref="A1:W53"/>
  <sheetViews>
    <sheetView topLeftCell="B11" zoomScale="80" zoomScaleNormal="80" workbookViewId="0">
      <selection activeCell="D40" sqref="D40"/>
    </sheetView>
  </sheetViews>
  <sheetFormatPr defaultColWidth="9.140625" defaultRowHeight="14.25"/>
  <cols>
    <col min="1" max="1" width="9.140625" style="1"/>
    <col min="2" max="2" width="29" style="1" customWidth="1"/>
    <col min="3" max="3" width="13.7109375" style="1" customWidth="1"/>
    <col min="4" max="4" width="9.140625" style="1"/>
    <col min="5" max="5" width="10.5703125" style="1" customWidth="1"/>
    <col min="6" max="6" width="15.5703125" style="1" customWidth="1"/>
    <col min="7" max="7" width="15" style="1" customWidth="1"/>
    <col min="8" max="8" width="23" style="1" customWidth="1"/>
    <col min="9" max="9" width="11.28515625" style="1" customWidth="1"/>
    <col min="10" max="10" width="9.85546875" style="1" customWidth="1"/>
    <col min="11" max="11" width="14.7109375" style="1" customWidth="1"/>
    <col min="12" max="12" width="19.140625" style="1" customWidth="1"/>
    <col min="13" max="13" width="12.5703125" style="1" customWidth="1"/>
    <col min="14" max="14" width="17.5703125" style="1" customWidth="1"/>
    <col min="15" max="15" width="12.7109375" style="1" customWidth="1"/>
    <col min="16" max="16" width="9.85546875" style="1" bestFit="1" customWidth="1"/>
    <col min="17" max="17" width="11.28515625" style="1" customWidth="1"/>
    <col min="18" max="18" width="9.140625" style="1"/>
    <col min="19" max="19" width="15.85546875" style="1" customWidth="1"/>
    <col min="20" max="20" width="9.140625" style="1"/>
    <col min="21" max="21" width="18.28515625" style="1" customWidth="1"/>
    <col min="22" max="22" width="11" style="1" customWidth="1"/>
    <col min="23" max="16384" width="9.140625" style="1"/>
  </cols>
  <sheetData>
    <row r="1" spans="1:23" ht="23.25">
      <c r="A1" s="74" t="s">
        <v>24</v>
      </c>
      <c r="B1"/>
      <c r="C1"/>
      <c r="D1"/>
      <c r="E1"/>
      <c r="F1" s="87" t="s">
        <v>25</v>
      </c>
      <c r="G1" s="88"/>
      <c r="H1" s="88"/>
      <c r="I1" s="88"/>
      <c r="J1" s="88"/>
      <c r="K1"/>
      <c r="L1"/>
      <c r="M1"/>
      <c r="N1"/>
      <c r="O1"/>
      <c r="P1"/>
      <c r="Q1"/>
      <c r="R1"/>
      <c r="S1"/>
      <c r="T1"/>
      <c r="U1"/>
      <c r="V1"/>
      <c r="W1"/>
    </row>
    <row r="2" spans="1:23" ht="18">
      <c r="A2" s="2" t="s">
        <v>124</v>
      </c>
      <c r="B2"/>
      <c r="C2"/>
      <c r="D2"/>
      <c r="E2"/>
      <c r="F2"/>
      <c r="G2"/>
      <c r="H2"/>
      <c r="I2" s="9" t="s">
        <v>125</v>
      </c>
      <c r="J2"/>
      <c r="K2"/>
      <c r="L2"/>
      <c r="M2"/>
      <c r="N2"/>
      <c r="O2"/>
      <c r="P2"/>
      <c r="Q2"/>
      <c r="R2"/>
      <c r="S2"/>
      <c r="T2"/>
      <c r="U2"/>
      <c r="V2"/>
      <c r="W2"/>
    </row>
    <row r="3" spans="1:23">
      <c r="A3" s="3"/>
      <c r="B3"/>
      <c r="C3"/>
      <c r="D3"/>
      <c r="E3" s="10"/>
      <c r="F3" s="4"/>
      <c r="G3" s="4"/>
      <c r="H3"/>
      <c r="I3" s="3"/>
      <c r="J3" s="4"/>
      <c r="K3" s="4"/>
      <c r="L3" s="5"/>
      <c r="M3"/>
      <c r="N3"/>
      <c r="O3"/>
      <c r="P3"/>
      <c r="Q3"/>
      <c r="R3"/>
      <c r="S3"/>
      <c r="T3"/>
      <c r="U3"/>
      <c r="V3"/>
      <c r="W3"/>
    </row>
    <row r="4" spans="1:23">
      <c r="A4"/>
      <c r="B4"/>
      <c r="C4"/>
      <c r="D4"/>
      <c r="E4"/>
      <c r="F4" s="101" t="s">
        <v>126</v>
      </c>
      <c r="G4" s="88"/>
      <c r="H4" s="88"/>
      <c r="I4" s="102"/>
      <c r="J4" s="88"/>
      <c r="K4"/>
      <c r="L4"/>
      <c r="M4"/>
      <c r="N4"/>
      <c r="O4"/>
      <c r="P4"/>
      <c r="Q4"/>
      <c r="R4"/>
      <c r="S4"/>
      <c r="T4"/>
      <c r="U4"/>
      <c r="V4"/>
      <c r="W4"/>
    </row>
    <row r="5" spans="1:23" ht="14.65" thickBot="1">
      <c r="A5"/>
      <c r="B5"/>
      <c r="C5" s="3"/>
      <c r="D5" s="3"/>
      <c r="E5" s="3"/>
      <c r="F5"/>
      <c r="G5" s="10" t="s">
        <v>47</v>
      </c>
      <c r="H5" s="10" t="s">
        <v>48</v>
      </c>
      <c r="I5" s="3" t="s">
        <v>49</v>
      </c>
      <c r="J5"/>
      <c r="K5" s="3" t="s">
        <v>47</v>
      </c>
      <c r="L5" s="3" t="s">
        <v>127</v>
      </c>
      <c r="M5" s="3" t="s">
        <v>49</v>
      </c>
      <c r="N5"/>
      <c r="O5"/>
      <c r="P5"/>
      <c r="Q5"/>
      <c r="R5"/>
      <c r="S5"/>
      <c r="T5"/>
      <c r="U5"/>
      <c r="V5"/>
      <c r="W5"/>
    </row>
    <row r="6" spans="1:23" ht="15" thickTop="1" thickBot="1">
      <c r="A6"/>
      <c r="B6" s="147" t="s">
        <v>52</v>
      </c>
      <c r="C6" s="147"/>
      <c r="D6" s="147"/>
      <c r="E6" s="69"/>
      <c r="F6" t="s">
        <v>53</v>
      </c>
      <c r="G6" s="68"/>
      <c r="H6" s="68"/>
      <c r="I6" s="63" t="e">
        <f>((($G$6*(($E6+$E7*0.8118)/45359))*1000000)/$H$6)</f>
        <v>#DIV/0!</v>
      </c>
      <c r="J6"/>
      <c r="K6" s="68"/>
      <c r="L6" s="68"/>
      <c r="M6" s="63" t="e">
        <f>((($K$6*(($E6+$E7*0.8118)/45359))*1000000)/($L$6*2.2))</f>
        <v>#DIV/0!</v>
      </c>
      <c r="N6"/>
      <c r="O6"/>
      <c r="P6"/>
      <c r="Q6"/>
      <c r="R6"/>
      <c r="S6"/>
      <c r="T6"/>
      <c r="U6"/>
      <c r="V6"/>
      <c r="W6"/>
    </row>
    <row r="7" spans="1:23" ht="15" thickTop="1" thickBot="1">
      <c r="A7"/>
      <c r="B7" s="147" t="s">
        <v>128</v>
      </c>
      <c r="C7" s="147"/>
      <c r="D7" s="147"/>
      <c r="E7" s="69"/>
      <c r="F7" t="s">
        <v>53</v>
      </c>
      <c r="G7" s="5"/>
      <c r="H7" s="76"/>
      <c r="I7" s="77"/>
      <c r="J7" s="12"/>
      <c r="K7" s="76"/>
      <c r="L7" s="13" t="s">
        <v>129</v>
      </c>
      <c r="M7" s="77"/>
      <c r="N7"/>
      <c r="O7"/>
      <c r="P7"/>
      <c r="Q7"/>
      <c r="R7"/>
      <c r="S7"/>
      <c r="T7"/>
      <c r="U7"/>
      <c r="V7"/>
      <c r="W7"/>
    </row>
    <row r="8" spans="1:23" ht="14.65" thickTop="1">
      <c r="A8" s="118"/>
      <c r="B8" s="120"/>
      <c r="C8" s="120"/>
      <c r="D8" s="120"/>
      <c r="E8" s="128"/>
      <c r="F8" s="118"/>
      <c r="G8" s="129"/>
      <c r="H8" s="129"/>
      <c r="I8" s="130"/>
      <c r="J8" s="118"/>
      <c r="K8" s="129"/>
      <c r="L8" s="129"/>
      <c r="M8" s="130"/>
      <c r="N8" s="118"/>
      <c r="O8" s="118"/>
      <c r="P8" s="118"/>
      <c r="Q8" s="118"/>
      <c r="R8" s="118"/>
      <c r="S8" s="118"/>
      <c r="T8" s="118"/>
      <c r="U8" s="118"/>
      <c r="V8" s="118"/>
      <c r="W8"/>
    </row>
    <row r="9" spans="1:23" s="92" customFormat="1" ht="18.75" customHeight="1">
      <c r="A9" s="74"/>
      <c r="B9" s="74"/>
      <c r="C9" s="74"/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  <c r="S9" s="74"/>
      <c r="T9" s="74"/>
      <c r="U9" s="74"/>
      <c r="V9" s="74"/>
      <c r="W9" s="74"/>
    </row>
    <row r="10" spans="1:23" ht="23.25">
      <c r="A10" s="74" t="s">
        <v>57</v>
      </c>
      <c r="B10"/>
      <c r="C10"/>
      <c r="D10"/>
      <c r="E10"/>
      <c r="F10"/>
      <c r="G10" s="8"/>
      <c r="H10"/>
      <c r="I10"/>
      <c r="J10"/>
      <c r="K10"/>
      <c r="L10"/>
      <c r="M10" s="9"/>
      <c r="N10"/>
      <c r="O10"/>
      <c r="P10"/>
      <c r="Q10"/>
      <c r="R10"/>
      <c r="S10"/>
      <c r="T10"/>
      <c r="U10"/>
      <c r="V10"/>
      <c r="W10"/>
    </row>
    <row r="11" spans="1:23" ht="18">
      <c r="A11" s="2" t="s">
        <v>130</v>
      </c>
      <c r="B11" s="78"/>
      <c r="C11" s="79"/>
      <c r="D11" s="79"/>
      <c r="E11" s="79"/>
      <c r="F11" s="79"/>
      <c r="G11" s="79"/>
      <c r="H11" s="79"/>
      <c r="I11" s="79"/>
      <c r="J11" s="9" t="s">
        <v>131</v>
      </c>
      <c r="K11" s="80" t="s">
        <v>132</v>
      </c>
      <c r="L11" s="79"/>
      <c r="M11" s="79"/>
      <c r="N11" s="79"/>
      <c r="O11" s="58" t="s">
        <v>58</v>
      </c>
      <c r="P11" s="59"/>
      <c r="Q11" s="59"/>
      <c r="R11" s="59"/>
      <c r="S11" s="59"/>
      <c r="T11" s="59"/>
      <c r="U11" s="59"/>
      <c r="V11" s="60"/>
      <c r="W11"/>
    </row>
    <row r="12" spans="1:23" ht="18">
      <c r="A12" s="3" t="s">
        <v>133</v>
      </c>
      <c r="B12" s="3"/>
      <c r="C12" s="4"/>
      <c r="D12" s="4"/>
      <c r="E12" s="10"/>
      <c r="F12" t="s">
        <v>60</v>
      </c>
      <c r="G12"/>
      <c r="H12"/>
      <c r="I12"/>
      <c r="J12"/>
      <c r="K12"/>
      <c r="L12"/>
      <c r="M12"/>
      <c r="N12"/>
      <c r="O12" s="75" t="s">
        <v>61</v>
      </c>
      <c r="P12" s="81"/>
      <c r="Q12" s="81"/>
      <c r="R12" s="81"/>
      <c r="S12" s="81"/>
      <c r="T12" s="81"/>
      <c r="U12" s="81"/>
      <c r="V12" s="82"/>
      <c r="W12"/>
    </row>
    <row r="13" spans="1:23" ht="18">
      <c r="A13" s="3" t="s">
        <v>126</v>
      </c>
      <c r="B13"/>
      <c r="C13"/>
      <c r="D13"/>
      <c r="E13"/>
      <c r="F13"/>
      <c r="G13" s="8"/>
      <c r="H13"/>
      <c r="I13"/>
      <c r="J13"/>
      <c r="K13"/>
      <c r="L13"/>
      <c r="M13" s="9"/>
      <c r="N13"/>
      <c r="O13" s="75" t="s">
        <v>62</v>
      </c>
      <c r="P13" s="25"/>
      <c r="Q13" s="25"/>
      <c r="R13" s="25"/>
      <c r="S13" s="25"/>
      <c r="T13" s="26"/>
      <c r="U13" s="26"/>
      <c r="V13" s="27"/>
      <c r="W13"/>
    </row>
    <row r="14" spans="1:23" ht="14.65" thickBot="1">
      <c r="A14" s="3"/>
      <c r="B14"/>
      <c r="C14" s="3"/>
      <c r="D14" s="3"/>
      <c r="E14" s="3"/>
      <c r="F14" s="9"/>
      <c r="G14" s="10"/>
      <c r="H14" s="3"/>
      <c r="I14" s="3"/>
      <c r="J14" s="3"/>
      <c r="K14" s="3"/>
      <c r="L14"/>
      <c r="M14" s="3" t="s">
        <v>49</v>
      </c>
      <c r="N14" s="3"/>
      <c r="O14" s="24" t="s">
        <v>65</v>
      </c>
      <c r="P14" s="25"/>
      <c r="Q14" s="25"/>
      <c r="R14" s="28"/>
      <c r="S14" s="29" t="s">
        <v>66</v>
      </c>
      <c r="T14" s="28"/>
      <c r="U14" s="26"/>
      <c r="V14" s="27"/>
      <c r="W14"/>
    </row>
    <row r="15" spans="1:23" ht="15" thickTop="1" thickBot="1">
      <c r="A15" s="3"/>
      <c r="B15" s="3"/>
      <c r="C15" s="3"/>
      <c r="D15" s="9" t="s">
        <v>63</v>
      </c>
      <c r="E15" s="30">
        <f>S22</f>
        <v>0</v>
      </c>
      <c r="F15"/>
      <c r="G15" s="8"/>
      <c r="H15"/>
      <c r="I15" s="7"/>
      <c r="J15"/>
      <c r="K15" s="3"/>
      <c r="L15" s="9" t="s">
        <v>64</v>
      </c>
      <c r="M15" s="86" t="e">
        <f>(($E$18)*(E17/E19)*1000000)/E15</f>
        <v>#DIV/0!</v>
      </c>
      <c r="N15"/>
      <c r="O15" s="70"/>
      <c r="P15" s="31" t="s">
        <v>69</v>
      </c>
      <c r="Q15" s="32">
        <f>O15/453.54</f>
        <v>0</v>
      </c>
      <c r="R15" s="31" t="s">
        <v>70</v>
      </c>
      <c r="S15" s="33">
        <f>Q15</f>
        <v>0</v>
      </c>
      <c r="T15" s="34" t="s">
        <v>71</v>
      </c>
      <c r="U15" s="35"/>
      <c r="V15" s="36"/>
      <c r="W15"/>
    </row>
    <row r="16" spans="1:23" ht="15" thickTop="1" thickBot="1">
      <c r="A16"/>
      <c r="B16" s="3"/>
      <c r="C16" s="3"/>
      <c r="D16" s="9" t="s">
        <v>67</v>
      </c>
      <c r="E16" s="37">
        <f>S15</f>
        <v>0</v>
      </c>
      <c r="F16"/>
      <c r="G16" s="8"/>
      <c r="H16"/>
      <c r="I16"/>
      <c r="J16"/>
      <c r="K16"/>
      <c r="L16"/>
      <c r="M16" s="9"/>
      <c r="N16"/>
      <c r="O16" s="64"/>
      <c r="P16" s="26" t="s">
        <v>69</v>
      </c>
      <c r="Q16" s="38">
        <f t="shared" ref="Q16:Q21" si="0">O16/453.54</f>
        <v>0</v>
      </c>
      <c r="R16" s="26" t="s">
        <v>70</v>
      </c>
      <c r="S16" s="39">
        <f>Q16</f>
        <v>0</v>
      </c>
      <c r="T16" s="26"/>
      <c r="U16" s="26"/>
      <c r="V16" s="27"/>
      <c r="W16"/>
    </row>
    <row r="17" spans="1:23" ht="15" thickTop="1" thickBot="1">
      <c r="A17"/>
      <c r="B17" s="3"/>
      <c r="C17" s="3"/>
      <c r="D17" s="9" t="s">
        <v>134</v>
      </c>
      <c r="E17" s="40">
        <f>S23</f>
        <v>0</v>
      </c>
      <c r="F17"/>
      <c r="G17" s="8"/>
      <c r="H17" s="12"/>
      <c r="I17" s="12"/>
      <c r="J17" s="12"/>
      <c r="K17" s="12"/>
      <c r="L17" s="12"/>
      <c r="M17" s="13" t="s">
        <v>135</v>
      </c>
      <c r="N17"/>
      <c r="O17" s="64"/>
      <c r="P17" s="26" t="s">
        <v>69</v>
      </c>
      <c r="Q17" s="38">
        <f t="shared" si="0"/>
        <v>0</v>
      </c>
      <c r="R17" s="26" t="s">
        <v>70</v>
      </c>
      <c r="S17" s="39">
        <f t="shared" ref="S17:S21" si="1">Q17</f>
        <v>0</v>
      </c>
      <c r="T17" s="28"/>
      <c r="U17" s="26"/>
      <c r="V17" s="27"/>
      <c r="W17"/>
    </row>
    <row r="18" spans="1:23" ht="18.75" thickTop="1" thickBot="1">
      <c r="A18"/>
      <c r="B18"/>
      <c r="C18"/>
      <c r="D18" s="9" t="s">
        <v>136</v>
      </c>
      <c r="E18" s="72">
        <f>(E16*(E20+(E21*0.8118)))/100</f>
        <v>0</v>
      </c>
      <c r="F18"/>
      <c r="G18" s="8"/>
      <c r="H18" s="12"/>
      <c r="I18" s="12"/>
      <c r="J18" s="12"/>
      <c r="K18" s="12"/>
      <c r="L18" s="12"/>
      <c r="M18" s="17" t="s">
        <v>137</v>
      </c>
      <c r="N18"/>
      <c r="O18" s="64"/>
      <c r="P18" s="26" t="s">
        <v>69</v>
      </c>
      <c r="Q18" s="38">
        <f t="shared" si="0"/>
        <v>0</v>
      </c>
      <c r="R18" s="26" t="s">
        <v>70</v>
      </c>
      <c r="S18" s="39">
        <f t="shared" si="1"/>
        <v>0</v>
      </c>
      <c r="T18" s="41"/>
      <c r="U18" s="26"/>
      <c r="V18" s="27"/>
      <c r="W18"/>
    </row>
    <row r="19" spans="1:23" ht="15" thickTop="1" thickBot="1">
      <c r="A19"/>
      <c r="B19"/>
      <c r="C19"/>
      <c r="D19" s="9" t="s">
        <v>75</v>
      </c>
      <c r="E19" s="103">
        <f>Q24</f>
        <v>0</v>
      </c>
      <c r="F19"/>
      <c r="G19" s="8"/>
      <c r="H19"/>
      <c r="I19"/>
      <c r="J19"/>
      <c r="K19"/>
      <c r="L19"/>
      <c r="M19"/>
      <c r="N19"/>
      <c r="O19" s="64"/>
      <c r="P19" s="26" t="s">
        <v>69</v>
      </c>
      <c r="Q19" s="38">
        <f t="shared" si="0"/>
        <v>0</v>
      </c>
      <c r="R19" s="26" t="s">
        <v>70</v>
      </c>
      <c r="S19" s="39">
        <f t="shared" si="1"/>
        <v>0</v>
      </c>
      <c r="T19" s="26"/>
      <c r="U19" s="26"/>
      <c r="V19" s="27"/>
      <c r="W19"/>
    </row>
    <row r="20" spans="1:23" ht="15" thickTop="1" thickBot="1">
      <c r="A20"/>
      <c r="B20" s="147" t="s">
        <v>52</v>
      </c>
      <c r="C20" s="147"/>
      <c r="D20" s="147"/>
      <c r="E20" s="69"/>
      <c r="F20" t="s">
        <v>53</v>
      </c>
      <c r="G20"/>
      <c r="H20" s="16"/>
      <c r="I20"/>
      <c r="J20"/>
      <c r="K20"/>
      <c r="L20"/>
      <c r="M20" s="9"/>
      <c r="N20"/>
      <c r="O20" s="64"/>
      <c r="P20" s="26" t="s">
        <v>69</v>
      </c>
      <c r="Q20" s="38">
        <f t="shared" si="0"/>
        <v>0</v>
      </c>
      <c r="R20" s="26" t="s">
        <v>70</v>
      </c>
      <c r="S20" s="39">
        <f t="shared" si="1"/>
        <v>0</v>
      </c>
      <c r="T20" s="26"/>
      <c r="U20" s="26"/>
      <c r="V20" s="27"/>
      <c r="W20"/>
    </row>
    <row r="21" spans="1:23" ht="15" thickTop="1" thickBot="1">
      <c r="A21"/>
      <c r="B21" s="147" t="s">
        <v>128</v>
      </c>
      <c r="C21" s="147"/>
      <c r="D21" s="147"/>
      <c r="E21" s="69"/>
      <c r="F21" t="s">
        <v>53</v>
      </c>
      <c r="G21"/>
      <c r="H21" s="8"/>
      <c r="I21"/>
      <c r="J21"/>
      <c r="K21"/>
      <c r="L21"/>
      <c r="M21" s="9"/>
      <c r="N21" s="9"/>
      <c r="O21" s="64"/>
      <c r="P21" s="26" t="s">
        <v>69</v>
      </c>
      <c r="Q21" s="38">
        <f t="shared" si="0"/>
        <v>0</v>
      </c>
      <c r="R21" s="26" t="s">
        <v>70</v>
      </c>
      <c r="S21" s="39">
        <f t="shared" si="1"/>
        <v>0</v>
      </c>
      <c r="T21" s="26"/>
      <c r="U21" s="26"/>
      <c r="V21" s="27"/>
      <c r="W21"/>
    </row>
    <row r="22" spans="1:23" ht="15" thickTop="1" thickBot="1">
      <c r="A22"/>
      <c r="B22"/>
      <c r="C22"/>
      <c r="D22"/>
      <c r="E22"/>
      <c r="F22"/>
      <c r="G22"/>
      <c r="H22" s="8"/>
      <c r="I22"/>
      <c r="J22"/>
      <c r="K22"/>
      <c r="L22"/>
      <c r="M22" s="9"/>
      <c r="N22" s="9"/>
      <c r="O22" s="24"/>
      <c r="P22" s="25"/>
      <c r="Q22" s="25"/>
      <c r="R22" s="26"/>
      <c r="S22" s="83">
        <f>SUM($S$15:$S$21)</f>
        <v>0</v>
      </c>
      <c r="T22" s="26" t="s">
        <v>76</v>
      </c>
      <c r="U22" s="26"/>
      <c r="V22" s="27"/>
      <c r="W22"/>
    </row>
    <row r="23" spans="1:23" ht="15" thickTop="1" thickBot="1">
      <c r="A23"/>
      <c r="B23"/>
      <c r="C23"/>
      <c r="D23"/>
      <c r="E23"/>
      <c r="F23"/>
      <c r="G23"/>
      <c r="H23"/>
      <c r="I23"/>
      <c r="J23"/>
      <c r="K23"/>
      <c r="L23"/>
      <c r="M23"/>
      <c r="N23" s="9"/>
      <c r="O23" s="24" t="s">
        <v>77</v>
      </c>
      <c r="P23" s="25"/>
      <c r="Q23" s="25"/>
      <c r="R23" s="26"/>
      <c r="S23" s="73"/>
      <c r="T23" s="26" t="s">
        <v>78</v>
      </c>
      <c r="U23" s="26"/>
      <c r="V23" s="27"/>
      <c r="W23"/>
    </row>
    <row r="24" spans="1:23" ht="15" thickTop="1" thickBot="1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 s="64"/>
      <c r="P24" s="42" t="s">
        <v>69</v>
      </c>
      <c r="Q24" s="43">
        <f t="shared" ref="Q24" si="2">O24/453.54</f>
        <v>0</v>
      </c>
      <c r="R24" s="42" t="s">
        <v>70</v>
      </c>
      <c r="S24" s="42"/>
      <c r="T24" s="42"/>
      <c r="U24" s="42"/>
      <c r="V24" s="44"/>
      <c r="W24"/>
    </row>
    <row r="25" spans="1:23" ht="14.65" thickTop="1">
      <c r="A25" s="118"/>
      <c r="B25" s="118"/>
      <c r="C25" s="118"/>
      <c r="D25" s="118"/>
      <c r="E25" s="118"/>
      <c r="F25" s="118"/>
      <c r="G25" s="118"/>
      <c r="H25" s="118"/>
      <c r="I25" s="118"/>
      <c r="J25" s="118"/>
      <c r="K25" s="118"/>
      <c r="L25" s="118"/>
      <c r="M25" s="118"/>
      <c r="N25" s="118"/>
      <c r="O25" s="118"/>
      <c r="P25" s="118"/>
      <c r="Q25" s="131"/>
      <c r="R25" s="118"/>
      <c r="S25" s="118"/>
      <c r="T25" s="118"/>
      <c r="U25" s="118"/>
      <c r="V25" s="132"/>
      <c r="W25"/>
    </row>
    <row r="26" spans="1:23" ht="23.65" thickBot="1">
      <c r="A26" s="74" t="s">
        <v>138</v>
      </c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 s="61"/>
      <c r="R26"/>
      <c r="S26"/>
      <c r="T26"/>
      <c r="U26"/>
      <c r="V26" s="62"/>
      <c r="W26"/>
    </row>
    <row r="27" spans="1:23" ht="18.399999999999999" thickBot="1">
      <c r="A27" s="2" t="s">
        <v>139</v>
      </c>
      <c r="B27"/>
      <c r="C27"/>
      <c r="D27" s="3"/>
      <c r="E27" s="9" t="s">
        <v>27</v>
      </c>
      <c r="F27" t="s">
        <v>80</v>
      </c>
      <c r="G27"/>
      <c r="H27"/>
      <c r="I27"/>
      <c r="J27"/>
      <c r="K27"/>
      <c r="L27"/>
      <c r="M27"/>
      <c r="N27"/>
      <c r="O27" s="156" t="s">
        <v>81</v>
      </c>
      <c r="P27" s="157"/>
      <c r="Q27" s="157"/>
      <c r="R27" s="157"/>
      <c r="S27" s="157"/>
      <c r="T27" s="157"/>
      <c r="U27" s="158" t="s">
        <v>82</v>
      </c>
      <c r="V27" s="159"/>
      <c r="W27"/>
    </row>
    <row r="28" spans="1:23" ht="20.25" customHeight="1" thickTop="1" thickBot="1">
      <c r="A28" s="3"/>
      <c r="B28"/>
      <c r="C28" s="3" t="s">
        <v>83</v>
      </c>
      <c r="D28"/>
      <c r="E28"/>
      <c r="F28"/>
      <c r="G28"/>
      <c r="H28"/>
      <c r="I28" s="45"/>
      <c r="J28"/>
      <c r="K28"/>
      <c r="L28"/>
      <c r="M28"/>
      <c r="N28"/>
      <c r="O28" s="154" t="s">
        <v>84</v>
      </c>
      <c r="P28" s="155"/>
      <c r="Q28" s="155"/>
      <c r="R28"/>
      <c r="S28" s="3" t="s">
        <v>85</v>
      </c>
      <c r="T28"/>
      <c r="U28" s="160" t="s">
        <v>86</v>
      </c>
      <c r="V28" s="161"/>
      <c r="W28"/>
    </row>
    <row r="29" spans="1:23" ht="15" thickTop="1" thickBot="1">
      <c r="A29" s="3" t="s">
        <v>126</v>
      </c>
      <c r="B29"/>
      <c r="C29" s="3"/>
      <c r="D29" s="3"/>
      <c r="E29" s="3"/>
      <c r="F29" s="9" t="s">
        <v>140</v>
      </c>
      <c r="G29" s="10" t="s">
        <v>141</v>
      </c>
      <c r="H29" s="10" t="s">
        <v>89</v>
      </c>
      <c r="I29" s="3"/>
      <c r="J29" s="3"/>
      <c r="K29" s="3"/>
      <c r="L29" s="3"/>
      <c r="M29" s="3" t="s">
        <v>49</v>
      </c>
      <c r="N29"/>
      <c r="O29" s="50" t="s">
        <v>90</v>
      </c>
      <c r="P29" s="69">
        <v>12699</v>
      </c>
      <c r="Q29" t="s">
        <v>69</v>
      </c>
      <c r="R29"/>
      <c r="S29" s="8" t="s">
        <v>91</v>
      </c>
      <c r="T29" s="69">
        <v>1500</v>
      </c>
      <c r="U29" s="162"/>
      <c r="V29" s="163"/>
      <c r="W29"/>
    </row>
    <row r="30" spans="1:23" ht="15" thickTop="1" thickBot="1">
      <c r="A30" s="147" t="s">
        <v>52</v>
      </c>
      <c r="B30" s="147"/>
      <c r="C30" s="147"/>
      <c r="D30" s="69">
        <v>6.25</v>
      </c>
      <c r="E30" t="s">
        <v>53</v>
      </c>
      <c r="F30" s="100">
        <f>T32</f>
        <v>27.999735414737398</v>
      </c>
      <c r="G30" s="100">
        <f>T29</f>
        <v>1500</v>
      </c>
      <c r="H30" s="100">
        <f>(T31-T30)/T30</f>
        <v>0.25</v>
      </c>
      <c r="I30" s="7"/>
      <c r="J30"/>
      <c r="K30"/>
      <c r="L30" s="9" t="s">
        <v>64</v>
      </c>
      <c r="M30" s="86">
        <f>(((F30*(D30+(D31*0.8118))/100)*H30*1000000)/G30)</f>
        <v>329.54755258632088</v>
      </c>
      <c r="N30" s="3" t="s">
        <v>142</v>
      </c>
      <c r="O30" s="50" t="s">
        <v>92</v>
      </c>
      <c r="P30" s="69">
        <v>680310</v>
      </c>
      <c r="Q30" t="s">
        <v>69</v>
      </c>
      <c r="R30"/>
      <c r="S30" s="8" t="s">
        <v>93</v>
      </c>
      <c r="T30" s="105">
        <v>600</v>
      </c>
      <c r="U30" s="106" t="s">
        <v>94</v>
      </c>
      <c r="V30" s="69">
        <v>568</v>
      </c>
      <c r="W30"/>
    </row>
    <row r="31" spans="1:23" ht="15" thickTop="1" thickBot="1">
      <c r="A31" s="147" t="s">
        <v>128</v>
      </c>
      <c r="B31" s="147"/>
      <c r="C31" s="147"/>
      <c r="D31" s="69">
        <v>1</v>
      </c>
      <c r="E31" t="s">
        <v>53</v>
      </c>
      <c r="F31"/>
      <c r="G31" s="8"/>
      <c r="H31" s="12"/>
      <c r="I31" s="12"/>
      <c r="J31" s="12"/>
      <c r="K31" s="12"/>
      <c r="L31" s="12"/>
      <c r="M31" s="13" t="s">
        <v>95</v>
      </c>
      <c r="N31"/>
      <c r="O31" s="50" t="s">
        <v>96</v>
      </c>
      <c r="P31" s="98">
        <f>P29/453.54</f>
        <v>27.999735414737398</v>
      </c>
      <c r="Q31" t="s">
        <v>70</v>
      </c>
      <c r="R31"/>
      <c r="S31" s="8" t="s">
        <v>97</v>
      </c>
      <c r="T31" s="105">
        <v>750</v>
      </c>
      <c r="U31" s="106" t="s">
        <v>98</v>
      </c>
      <c r="V31" s="69">
        <v>5</v>
      </c>
      <c r="W31"/>
    </row>
    <row r="32" spans="1:23" ht="14.65" thickTop="1">
      <c r="A32"/>
      <c r="B32"/>
      <c r="C32"/>
      <c r="D32"/>
      <c r="E32"/>
      <c r="F32"/>
      <c r="G32" s="8"/>
      <c r="H32" s="12"/>
      <c r="I32" s="12"/>
      <c r="J32" s="12"/>
      <c r="K32" s="12"/>
      <c r="L32" s="12"/>
      <c r="M32" s="14" t="s">
        <v>143</v>
      </c>
      <c r="N32" s="8"/>
      <c r="O32" s="50" t="s">
        <v>100</v>
      </c>
      <c r="P32" s="99">
        <f>P30/453.54</f>
        <v>1500</v>
      </c>
      <c r="Q32" t="s">
        <v>70</v>
      </c>
      <c r="R32"/>
      <c r="S32" s="8" t="s">
        <v>101</v>
      </c>
      <c r="T32" s="109">
        <f>(T29/P32)*P31</f>
        <v>27.999735414737398</v>
      </c>
      <c r="U32" s="106" t="s">
        <v>102</v>
      </c>
      <c r="V32" s="133">
        <f>(V30/P30)*(P29/453.54)</f>
        <v>2.3377356963106291E-2</v>
      </c>
      <c r="W32"/>
    </row>
    <row r="33" spans="1:23" ht="18.399999999999999" thickBot="1">
      <c r="A33"/>
      <c r="B33"/>
      <c r="C33"/>
      <c r="D33"/>
      <c r="E33"/>
      <c r="F33"/>
      <c r="G33" s="8"/>
      <c r="H33" s="12"/>
      <c r="I33" s="12"/>
      <c r="J33" s="12"/>
      <c r="K33" s="12"/>
      <c r="L33" s="12"/>
      <c r="M33" s="17" t="s">
        <v>137</v>
      </c>
      <c r="N33"/>
      <c r="O33" s="91"/>
      <c r="P33" s="51"/>
      <c r="Q33" s="51"/>
      <c r="R33" s="51"/>
      <c r="S33" s="51"/>
      <c r="T33" s="51"/>
      <c r="U33" s="107"/>
      <c r="V33" s="52"/>
      <c r="W33"/>
    </row>
    <row r="34" spans="1:23">
      <c r="A34" s="118"/>
      <c r="B34" s="118"/>
      <c r="C34" s="118"/>
      <c r="D34" s="118"/>
      <c r="E34" s="118"/>
      <c r="F34" s="118"/>
      <c r="G34" s="119"/>
      <c r="H34" s="118"/>
      <c r="I34" s="118"/>
      <c r="J34" s="118"/>
      <c r="K34" s="118"/>
      <c r="L34" s="118"/>
      <c r="M34" s="120"/>
      <c r="N34" s="118"/>
      <c r="O34" s="118"/>
      <c r="P34" s="118"/>
      <c r="Q34" s="118"/>
      <c r="R34" s="118"/>
      <c r="S34" s="118"/>
      <c r="T34" s="118"/>
      <c r="U34" s="118"/>
      <c r="V34" s="118"/>
      <c r="W34"/>
    </row>
    <row r="35" spans="1:23">
      <c r="A35"/>
      <c r="B35"/>
      <c r="C35"/>
      <c r="D35"/>
      <c r="E35"/>
      <c r="F35"/>
      <c r="G35" s="8"/>
      <c r="H35"/>
      <c r="I35"/>
      <c r="J35"/>
      <c r="K35"/>
      <c r="L35"/>
      <c r="M35" s="9"/>
      <c r="N35"/>
      <c r="O35"/>
      <c r="P35"/>
      <c r="Q35"/>
      <c r="R35"/>
      <c r="S35"/>
      <c r="T35"/>
      <c r="U35"/>
      <c r="V35"/>
      <c r="W35"/>
    </row>
    <row r="36" spans="1:23" ht="23.25">
      <c r="A36" s="74" t="s">
        <v>103</v>
      </c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 t="s">
        <v>56</v>
      </c>
      <c r="R36"/>
      <c r="S36"/>
      <c r="T36"/>
      <c r="U36"/>
      <c r="V36"/>
      <c r="W36"/>
    </row>
    <row r="37" spans="1:23" ht="18">
      <c r="A37" s="2" t="s">
        <v>139</v>
      </c>
      <c r="B37"/>
      <c r="C37"/>
      <c r="D37" s="3"/>
      <c r="E37" s="9" t="s">
        <v>27</v>
      </c>
      <c r="F37" t="s">
        <v>144</v>
      </c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</row>
    <row r="38" spans="1:23" ht="18">
      <c r="A38" s="2"/>
      <c r="B38"/>
      <c r="C38" s="3" t="s">
        <v>107</v>
      </c>
      <c r="D38"/>
      <c r="E38"/>
      <c r="F38"/>
      <c r="G38"/>
      <c r="H38"/>
      <c r="I38" s="45"/>
      <c r="J38"/>
      <c r="K38"/>
      <c r="L38"/>
      <c r="M38"/>
      <c r="N38"/>
      <c r="O38"/>
      <c r="P38"/>
      <c r="Q38"/>
      <c r="R38"/>
      <c r="S38"/>
      <c r="T38"/>
      <c r="U38"/>
      <c r="V38"/>
      <c r="W38"/>
    </row>
    <row r="39" spans="1:23" ht="14.65" thickBot="1">
      <c r="A39" s="3" t="s">
        <v>126</v>
      </c>
      <c r="B39"/>
      <c r="C39" s="3"/>
      <c r="D39" s="3"/>
      <c r="E39" s="3"/>
      <c r="F39" s="9" t="s">
        <v>140</v>
      </c>
      <c r="G39" s="10" t="s">
        <v>141</v>
      </c>
      <c r="H39" s="10" t="s">
        <v>110</v>
      </c>
      <c r="I39" s="3" t="s">
        <v>145</v>
      </c>
      <c r="J39"/>
      <c r="K39" s="3"/>
      <c r="L39" s="3"/>
      <c r="M39" s="3" t="s">
        <v>49</v>
      </c>
      <c r="N39"/>
      <c r="O39"/>
      <c r="P39"/>
      <c r="Q39"/>
      <c r="R39"/>
      <c r="S39"/>
      <c r="T39"/>
      <c r="U39"/>
      <c r="V39"/>
      <c r="W39"/>
    </row>
    <row r="40" spans="1:23" ht="15" thickTop="1" thickBot="1">
      <c r="A40" s="147" t="s">
        <v>52</v>
      </c>
      <c r="B40" s="147"/>
      <c r="C40" s="147"/>
      <c r="D40" s="69">
        <v>6.25</v>
      </c>
      <c r="E40" t="s">
        <v>53</v>
      </c>
      <c r="F40" s="134">
        <f>V32</f>
        <v>2.3377356963106291E-2</v>
      </c>
      <c r="G40" s="135">
        <f>V30/453.54</f>
        <v>1.2523702429774661</v>
      </c>
      <c r="H40" s="100">
        <f>100*(V30/453.54)/V31</f>
        <v>25.047404859549324</v>
      </c>
      <c r="I40" s="7"/>
      <c r="J40"/>
      <c r="K40"/>
      <c r="L40" s="9" t="s">
        <v>64</v>
      </c>
      <c r="M40" s="86">
        <f>(((F40*(D40+(D41*0.8118))/100)*(H40/100)*1000000)/G40)</f>
        <v>330.17243880412803</v>
      </c>
      <c r="N40" s="3" t="s">
        <v>142</v>
      </c>
      <c r="O40"/>
      <c r="P40"/>
      <c r="Q40"/>
      <c r="R40"/>
      <c r="S40"/>
      <c r="T40"/>
      <c r="U40"/>
      <c r="V40"/>
      <c r="W40"/>
    </row>
    <row r="41" spans="1:23" ht="15" thickTop="1" thickBot="1">
      <c r="A41" s="147" t="s">
        <v>128</v>
      </c>
      <c r="B41" s="147"/>
      <c r="C41" s="147"/>
      <c r="D41" s="69">
        <v>1</v>
      </c>
      <c r="E41" t="s">
        <v>53</v>
      </c>
      <c r="F41"/>
      <c r="G41" s="8"/>
      <c r="H41" s="12"/>
      <c r="I41" s="12"/>
      <c r="J41" s="12"/>
      <c r="K41" s="12"/>
      <c r="L41" s="12"/>
      <c r="M41" s="13" t="s">
        <v>95</v>
      </c>
      <c r="N41"/>
      <c r="O41"/>
      <c r="P41"/>
      <c r="Q41"/>
      <c r="R41"/>
      <c r="S41"/>
      <c r="T41"/>
      <c r="U41"/>
      <c r="V41"/>
      <c r="W41"/>
    </row>
    <row r="42" spans="1:23" ht="18.399999999999999" thickTop="1">
      <c r="A42"/>
      <c r="B42"/>
      <c r="C42"/>
      <c r="D42"/>
      <c r="E42"/>
      <c r="F42"/>
      <c r="G42" s="8"/>
      <c r="H42" s="12"/>
      <c r="I42" s="12"/>
      <c r="J42" s="12"/>
      <c r="K42" s="12"/>
      <c r="L42" s="12"/>
      <c r="M42" s="17" t="s">
        <v>137</v>
      </c>
      <c r="N42"/>
      <c r="O42"/>
      <c r="P42"/>
      <c r="Q42"/>
      <c r="R42"/>
      <c r="S42"/>
      <c r="T42"/>
      <c r="U42"/>
      <c r="V42"/>
      <c r="W42"/>
    </row>
    <row r="43" spans="1:23">
      <c r="A43" s="118"/>
      <c r="B43" s="118"/>
      <c r="C43" s="118"/>
      <c r="D43" s="118"/>
      <c r="E43" s="118"/>
      <c r="F43" s="118"/>
      <c r="G43" s="118"/>
      <c r="H43" s="118"/>
      <c r="I43" s="118"/>
      <c r="J43" s="118"/>
      <c r="K43" s="118"/>
      <c r="L43" s="118"/>
      <c r="M43" s="118"/>
      <c r="N43" s="122"/>
      <c r="O43" s="118"/>
      <c r="P43" s="118"/>
      <c r="Q43" s="118"/>
      <c r="R43" s="118"/>
      <c r="S43" s="118"/>
      <c r="T43" s="118"/>
      <c r="U43" s="118"/>
      <c r="V43" s="118"/>
      <c r="W43"/>
    </row>
    <row r="44" spans="1:23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</row>
    <row r="45" spans="1:23" ht="23.65" thickBot="1">
      <c r="A45" s="54" t="s">
        <v>146</v>
      </c>
      <c r="B45" s="12"/>
      <c r="C45" s="12"/>
      <c r="D45" s="12"/>
      <c r="E45" s="12"/>
      <c r="F45" s="12"/>
      <c r="G45" s="57" t="s">
        <v>147</v>
      </c>
      <c r="H45" s="10" t="s">
        <v>48</v>
      </c>
      <c r="I45" s="3" t="s">
        <v>142</v>
      </c>
      <c r="J45"/>
      <c r="K45" s="57" t="s">
        <v>147</v>
      </c>
      <c r="L45" s="10" t="s">
        <v>127</v>
      </c>
      <c r="M45" s="3" t="s">
        <v>142</v>
      </c>
      <c r="N45"/>
      <c r="O45"/>
      <c r="P45"/>
      <c r="Q45"/>
      <c r="R45"/>
      <c r="S45"/>
      <c r="T45"/>
      <c r="U45"/>
      <c r="V45"/>
      <c r="W45"/>
    </row>
    <row r="46" spans="1:23" ht="18.75" thickTop="1" thickBot="1">
      <c r="A46" s="55" t="s">
        <v>148</v>
      </c>
      <c r="B46" s="12"/>
      <c r="C46" s="12"/>
      <c r="D46" s="12"/>
      <c r="E46" s="56" t="s">
        <v>27</v>
      </c>
      <c r="F46" s="12"/>
      <c r="G46" s="67"/>
      <c r="H46" s="68"/>
      <c r="I46" s="71" t="e">
        <f>(G46*1000000/16)/H46</f>
        <v>#DIV/0!</v>
      </c>
      <c r="J46"/>
      <c r="K46" s="67"/>
      <c r="L46" s="68"/>
      <c r="M46" s="71" t="e">
        <f>(K46*1000000/16)/(L46*2.2)</f>
        <v>#DIV/0!</v>
      </c>
      <c r="N46"/>
      <c r="O46"/>
      <c r="P46"/>
      <c r="Q46"/>
      <c r="R46"/>
      <c r="S46"/>
      <c r="T46"/>
      <c r="U46"/>
      <c r="V46"/>
      <c r="W46"/>
    </row>
    <row r="47" spans="1:23" ht="14.65" thickTop="1">
      <c r="A47" s="164" t="s">
        <v>149</v>
      </c>
      <c r="B47" s="165"/>
      <c r="C47" s="165"/>
      <c r="D47" s="165"/>
      <c r="E47" s="165"/>
      <c r="F47" s="166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</row>
    <row r="48" spans="1:23" ht="14.65" thickBot="1">
      <c r="A48" s="165"/>
      <c r="B48" s="165"/>
      <c r="C48" s="165"/>
      <c r="D48" s="165"/>
      <c r="E48" s="165"/>
      <c r="F48" s="166"/>
      <c r="G48" s="57" t="s">
        <v>150</v>
      </c>
      <c r="H48" s="10" t="s">
        <v>48</v>
      </c>
      <c r="I48" s="3" t="s">
        <v>142</v>
      </c>
      <c r="J48" s="3"/>
      <c r="K48" s="57" t="s">
        <v>150</v>
      </c>
      <c r="L48" s="3" t="s">
        <v>127</v>
      </c>
      <c r="M48" s="3" t="s">
        <v>142</v>
      </c>
      <c r="N48"/>
      <c r="O48"/>
      <c r="P48"/>
      <c r="Q48"/>
      <c r="R48"/>
      <c r="S48"/>
      <c r="T48"/>
      <c r="U48"/>
      <c r="V48"/>
      <c r="W48"/>
    </row>
    <row r="49" spans="1:23" ht="15" thickTop="1" thickBot="1">
      <c r="A49" s="165"/>
      <c r="B49" s="165"/>
      <c r="C49" s="165"/>
      <c r="D49" s="165"/>
      <c r="E49" s="165"/>
      <c r="F49" s="166"/>
      <c r="G49" s="67"/>
      <c r="H49" s="68"/>
      <c r="I49" s="71" t="e">
        <f>(G49*1000000/453.54)/H49</f>
        <v>#DIV/0!</v>
      </c>
      <c r="J49"/>
      <c r="K49" s="67"/>
      <c r="L49" s="68"/>
      <c r="M49" s="71" t="e">
        <f>((K49*1000000)/453.54)/(L49*2.2)</f>
        <v>#DIV/0!</v>
      </c>
      <c r="N49"/>
      <c r="O49"/>
      <c r="P49"/>
      <c r="Q49"/>
      <c r="R49"/>
      <c r="S49"/>
      <c r="T49"/>
      <c r="U49"/>
      <c r="V49"/>
      <c r="W49"/>
    </row>
    <row r="50" spans="1:23" ht="21" customHeight="1" thickTop="1">
      <c r="A50" s="165"/>
      <c r="B50" s="165"/>
      <c r="C50" s="165"/>
      <c r="D50" s="165"/>
      <c r="E50" s="165"/>
      <c r="F50" s="166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</row>
    <row r="51" spans="1:23">
      <c r="A51" s="166"/>
      <c r="B51" s="166"/>
      <c r="C51" s="166"/>
      <c r="D51" s="166"/>
      <c r="E51" s="166"/>
      <c r="F51" s="166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</row>
    <row r="53" spans="1:23" ht="18" customHeight="1"/>
  </sheetData>
  <sheetProtection sheet="1" objects="1" scenarios="1" selectLockedCells="1"/>
  <mergeCells count="13">
    <mergeCell ref="U27:V27"/>
    <mergeCell ref="U28:V29"/>
    <mergeCell ref="O28:Q28"/>
    <mergeCell ref="B6:D6"/>
    <mergeCell ref="B7:D7"/>
    <mergeCell ref="B20:D20"/>
    <mergeCell ref="B21:D21"/>
    <mergeCell ref="O27:T27"/>
    <mergeCell ref="A30:C30"/>
    <mergeCell ref="A31:C31"/>
    <mergeCell ref="A40:C40"/>
    <mergeCell ref="A41:C41"/>
    <mergeCell ref="A47:F51"/>
  </mergeCells>
  <pageMargins left="0.7" right="0.7" top="0.75" bottom="0.75" header="0.3" footer="0.3"/>
  <pageSetup paperSize="16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5ac8d35-6a2d-48f2-b601-06cd45d5926e">
      <Terms xmlns="http://schemas.microsoft.com/office/infopath/2007/PartnerControls"/>
    </lcf76f155ced4ddcb4097134ff3c332f>
    <TaxCatchAll xmlns="30af0fd0-a37f-49e3-bd84-b6dc25b6d8a4" xsi:nil="true"/>
    <Run_x0020_Time xmlns="d5ac8d35-6a2d-48f2-b601-06cd45d5926e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FF416AABFE59440A01F949B778980B4" ma:contentTypeVersion="19" ma:contentTypeDescription="Create a new document." ma:contentTypeScope="" ma:versionID="5ae0a03f3584a3231834eb547656d227">
  <xsd:schema xmlns:xsd="http://www.w3.org/2001/XMLSchema" xmlns:xs="http://www.w3.org/2001/XMLSchema" xmlns:p="http://schemas.microsoft.com/office/2006/metadata/properties" xmlns:ns2="d5ac8d35-6a2d-48f2-b601-06cd45d5926e" xmlns:ns3="30af0fd0-a37f-49e3-bd84-b6dc25b6d8a4" targetNamespace="http://schemas.microsoft.com/office/2006/metadata/properties" ma:root="true" ma:fieldsID="162cbcd4a2985f40c834170183bb1f9b" ns2:_="" ns3:_="">
    <xsd:import namespace="d5ac8d35-6a2d-48f2-b601-06cd45d5926e"/>
    <xsd:import namespace="30af0fd0-a37f-49e3-bd84-b6dc25b6d8a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Run_x0020_Time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ac8d35-6a2d-48f2-b601-06cd45d592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eb41c2e3-9785-49eb-8a3d-46febc39341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Run_x0020_Time" ma:index="24" nillable="true" ma:displayName="Run Time" ma:format="DateTime" ma:internalName="Run_x0020_Time">
      <xsd:simpleType>
        <xsd:restriction base="dms:DateTim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af0fd0-a37f-49e3-bd84-b6dc25b6d8a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bd3e674c-b3cb-47b8-8b95-1623d059ae95}" ma:internalName="TaxCatchAll" ma:showField="CatchAllData" ma:web="30af0fd0-a37f-49e3-bd84-b6dc25b6d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58C15AB-C41C-471F-89E2-D4305933303E}"/>
</file>

<file path=customXml/itemProps2.xml><?xml version="1.0" encoding="utf-8"?>
<ds:datastoreItem xmlns:ds="http://schemas.openxmlformats.org/officeDocument/2006/customXml" ds:itemID="{6C299630-C993-4F82-A548-C53E33F8A118}"/>
</file>

<file path=customXml/itemProps3.xml><?xml version="1.0" encoding="utf-8"?>
<ds:datastoreItem xmlns:ds="http://schemas.openxmlformats.org/officeDocument/2006/customXml" ds:itemID="{D4F35411-2F3D-465D-9234-B946AC8042B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Brooke Benschoter</cp:lastModifiedBy>
  <cp:revision/>
  <dcterms:created xsi:type="dcterms:W3CDTF">2006-09-16T00:00:00Z</dcterms:created>
  <dcterms:modified xsi:type="dcterms:W3CDTF">2024-01-23T22:01:34Z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0x0101003FF416AABFE59440A01F949B778980B4</vt:lpwstr>
  </property>
  <property fmtid="{D5CDD505-2E9C-101B-9397-08002B2CF9AE}" pid="3" name="MediaServiceImageTags">
    <vt:lpwstr/>
  </property>
</Properties>
</file>